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tabRatio="400" activeTab="0"/>
  </bookViews>
  <sheets>
    <sheet name="มีนาคม 2551" sheetId="1" r:id="rId1"/>
    <sheet name="Back up" sheetId="2" r:id="rId2"/>
    <sheet name="YH" sheetId="3" r:id="rId3"/>
  </sheets>
  <definedNames>
    <definedName name="_xlnm.Print_Area" localSheetId="1">'Back up'!$A$1:$AA$55</definedName>
    <definedName name="_xlnm.Print_Area" localSheetId="2">'YH'!$A$1:$Z$57</definedName>
    <definedName name="_xlnm.Print_Area" localSheetId="0">'มีนาคม 2551'!$A$1:$AA$55</definedName>
  </definedNames>
  <calcPr fullCalcOnLoad="1"/>
</workbook>
</file>

<file path=xl/sharedStrings.xml><?xml version="1.0" encoding="utf-8"?>
<sst xmlns="http://schemas.openxmlformats.org/spreadsheetml/2006/main" count="326" uniqueCount="65">
  <si>
    <t>ระยะเวลาก่อสร้าง</t>
  </si>
  <si>
    <t>วัน</t>
  </si>
  <si>
    <t>วันสิ้นสุดสัญญา</t>
  </si>
  <si>
    <t>Contract Value</t>
  </si>
  <si>
    <t>Baht</t>
  </si>
  <si>
    <t>Item</t>
  </si>
  <si>
    <t>Description</t>
  </si>
  <si>
    <t>Q'ty</t>
  </si>
  <si>
    <t>Unit</t>
  </si>
  <si>
    <t>Price</t>
  </si>
  <si>
    <t>% wt.</t>
  </si>
  <si>
    <t>%</t>
  </si>
  <si>
    <t>No.</t>
  </si>
  <si>
    <t>( Baht )</t>
  </si>
  <si>
    <t>LS</t>
  </si>
  <si>
    <t>Plan</t>
  </si>
  <si>
    <t>Actual</t>
  </si>
  <si>
    <t>ARCHITECTURAL WORKS</t>
  </si>
  <si>
    <t>Monthly</t>
  </si>
  <si>
    <t>Cumulative</t>
  </si>
  <si>
    <t>Legend :</t>
  </si>
  <si>
    <t xml:space="preserve"> </t>
  </si>
  <si>
    <t>(ไม่รวมภาษีมูลค่าเพิ่ม)</t>
  </si>
  <si>
    <t>Overhead and Profit</t>
  </si>
  <si>
    <t>Actual  (%)</t>
  </si>
  <si>
    <t>Ahead / ( Delay )  (%)</t>
  </si>
  <si>
    <t>Time Elapse (%)</t>
  </si>
  <si>
    <t>Planned</t>
  </si>
  <si>
    <t>1</t>
  </si>
  <si>
    <t>PREPARATION WORK</t>
  </si>
  <si>
    <t>STRUCTURE WORK</t>
  </si>
  <si>
    <t>SUB STRUCTURE</t>
  </si>
  <si>
    <t>SUPER STRUCTURE</t>
  </si>
  <si>
    <t>2.2.1</t>
  </si>
  <si>
    <t>GROUND SLAB</t>
  </si>
  <si>
    <t>SLAB LEVEL 2-3</t>
  </si>
  <si>
    <t>SLAB LEVEL 4-10</t>
  </si>
  <si>
    <t>SLAB LEVEL 11-15</t>
  </si>
  <si>
    <t>2.2.2</t>
  </si>
  <si>
    <t>2.2.3</t>
  </si>
  <si>
    <t>2.2.4</t>
  </si>
  <si>
    <t>2.2.5</t>
  </si>
  <si>
    <t>ROOF SLAB AND WATER TANK</t>
  </si>
  <si>
    <t>2.2.6</t>
  </si>
  <si>
    <t>ROOF STEEL STRUCTURE</t>
  </si>
  <si>
    <t>EXTERNAL WORK</t>
  </si>
  <si>
    <t>INTERNAL WORK</t>
  </si>
  <si>
    <t>HARDSCAPE WORKS</t>
  </si>
  <si>
    <t>ROAD AND OTHER</t>
  </si>
  <si>
    <t>Total Planning</t>
  </si>
  <si>
    <t>Total Actual</t>
  </si>
  <si>
    <t>Planning  (%)</t>
  </si>
  <si>
    <t>วันเริ่มงานตามสัญญา</t>
  </si>
  <si>
    <t>REVISION :</t>
  </si>
  <si>
    <t>DATED :</t>
  </si>
  <si>
    <t>J.1669 YANHEE HOSPITAL PROJECT</t>
  </si>
  <si>
    <t>แผนความก้าวหน้างานก่อสร้าง โครงการอาคารผู้ป่วยนอก โรงพยาบาลยันฮี</t>
  </si>
  <si>
    <t xml:space="preserve">             ITALIAN - THAI DEVELOPMENT PUBLIC COMPANY LIMITED</t>
  </si>
  <si>
    <t>Monthly Plan</t>
  </si>
  <si>
    <t>Monthly Actual</t>
  </si>
  <si>
    <t>Amount</t>
  </si>
  <si>
    <t>Month</t>
  </si>
  <si>
    <t>Acc Plan</t>
  </si>
  <si>
    <t>Acc Actual</t>
  </si>
  <si>
    <t>แผนความก้าวหน้างานก่อสร้าง โครงการ…………………………..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</si>
</sst>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d"/>
    <numFmt numFmtId="204" formatCode="[$-1010409]d\ mmm\ yy;@"/>
    <numFmt numFmtId="205" formatCode="_-* #,##0_-;\-* #,##0_-;_-* &quot;-&quot;??_-;_-@_-"/>
    <numFmt numFmtId="206" formatCode="_-* #,##0.0_-;\-* #,##0.0_-;_-* &quot;-&quot;??_-;_-@_-"/>
    <numFmt numFmtId="207" formatCode="_-* #,##0.00000_-;\-* #,##0.00000_-;_-* &quot;-&quot;??_-;_-@_-"/>
    <numFmt numFmtId="208" formatCode="[$-41E]d\ mmmm\ yyyy"/>
    <numFmt numFmtId="209" formatCode="[$-409]d\-mmm\-yy;@"/>
    <numFmt numFmtId="210" formatCode="#,##0.00_ ;[Red]\-#,##0.00\ "/>
    <numFmt numFmtId="211" formatCode="#,##0_ ;[Red]\-#,##0\ "/>
    <numFmt numFmtId="212" formatCode="B1d\-mmm"/>
    <numFmt numFmtId="213" formatCode="[$-409]mmm\-yy;@"/>
    <numFmt numFmtId="214" formatCode="#,##0.00000000"/>
    <numFmt numFmtId="215" formatCode="#,##0_ ;\-#,##0\ "/>
  </numFmts>
  <fonts count="3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double"/>
      <sz val="18"/>
      <name val="Arial"/>
      <family val="2"/>
    </font>
    <font>
      <sz val="9"/>
      <name val="Arial"/>
      <family val="2"/>
    </font>
    <font>
      <sz val="22.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0" fillId="0" borderId="0" xfId="42" applyAlignment="1">
      <alignment vertical="center"/>
    </xf>
    <xf numFmtId="43" fontId="0" fillId="0" borderId="10" xfId="42" applyFont="1" applyBorder="1" applyAlignment="1">
      <alignment vertical="center"/>
    </xf>
    <xf numFmtId="43" fontId="0" fillId="0" borderId="10" xfId="42" applyFont="1" applyFill="1" applyBorder="1" applyAlignment="1">
      <alignment horizontal="right" vertical="center"/>
    </xf>
    <xf numFmtId="43" fontId="0" fillId="24" borderId="10" xfId="42" applyFont="1" applyFill="1" applyBorder="1" applyAlignment="1">
      <alignment vertical="center"/>
    </xf>
    <xf numFmtId="43" fontId="0" fillId="0" borderId="10" xfId="42" applyFont="1" applyFill="1" applyBorder="1" applyAlignment="1">
      <alignment vertical="center"/>
    </xf>
    <xf numFmtId="43" fontId="0" fillId="24" borderId="10" xfId="42" applyFont="1" applyFill="1" applyBorder="1" applyAlignment="1">
      <alignment horizontal="right" vertical="center"/>
    </xf>
    <xf numFmtId="43" fontId="0" fillId="0" borderId="11" xfId="42" applyFont="1" applyFill="1" applyBorder="1" applyAlignment="1">
      <alignment horizontal="right" vertical="center"/>
    </xf>
    <xf numFmtId="43" fontId="3" fillId="0" borderId="0" xfId="42" applyFont="1" applyAlignment="1">
      <alignment horizontal="right" vertical="center"/>
    </xf>
    <xf numFmtId="43" fontId="4" fillId="0" borderId="0" xfId="42" applyFont="1" applyAlignment="1">
      <alignment vertical="center"/>
    </xf>
    <xf numFmtId="43" fontId="0" fillId="0" borderId="0" xfId="0" applyNumberFormat="1" applyAlignment="1">
      <alignment vertical="center"/>
    </xf>
    <xf numFmtId="43" fontId="2" fillId="0" borderId="10" xfId="42" applyFont="1" applyFill="1" applyBorder="1" applyAlignment="1">
      <alignment vertical="center"/>
    </xf>
    <xf numFmtId="43" fontId="2" fillId="0" borderId="10" xfId="42" applyFont="1" applyBorder="1" applyAlignment="1">
      <alignment vertical="center"/>
    </xf>
    <xf numFmtId="43" fontId="2" fillId="0" borderId="11" xfId="4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205" fontId="2" fillId="0" borderId="10" xfId="42" applyNumberFormat="1" applyFont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/>
    </xf>
    <xf numFmtId="205" fontId="2" fillId="0" borderId="10" xfId="42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205" fontId="2" fillId="0" borderId="11" xfId="42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3" fontId="2" fillId="0" borderId="11" xfId="42" applyFont="1" applyBorder="1" applyAlignment="1">
      <alignment horizontal="center" vertical="center"/>
    </xf>
    <xf numFmtId="205" fontId="2" fillId="0" borderId="11" xfId="42" applyNumberFormat="1" applyFont="1" applyBorder="1" applyAlignment="1">
      <alignment horizontal="center" vertical="center"/>
    </xf>
    <xf numFmtId="43" fontId="6" fillId="0" borderId="10" xfId="42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43" fontId="0" fillId="0" borderId="14" xfId="42" applyFont="1" applyFill="1" applyBorder="1" applyAlignment="1">
      <alignment horizontal="right" vertical="center"/>
    </xf>
    <xf numFmtId="204" fontId="2" fillId="0" borderId="0" xfId="0" applyNumberFormat="1" applyFont="1" applyAlignment="1">
      <alignment vertical="center"/>
    </xf>
    <xf numFmtId="43" fontId="2" fillId="0" borderId="0" xfId="42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" fillId="0" borderId="16" xfId="4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3" fontId="6" fillId="0" borderId="19" xfId="42" applyFont="1" applyBorder="1" applyAlignment="1">
      <alignment vertical="center"/>
    </xf>
    <xf numFmtId="43" fontId="6" fillId="0" borderId="18" xfId="42" applyFont="1" applyBorder="1" applyAlignment="1">
      <alignment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3" fontId="6" fillId="0" borderId="21" xfId="42" applyFont="1" applyBorder="1" applyAlignment="1">
      <alignment vertical="center"/>
    </xf>
    <xf numFmtId="43" fontId="6" fillId="0" borderId="22" xfId="42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210" fontId="4" fillId="0" borderId="20" xfId="42" applyNumberFormat="1" applyFont="1" applyBorder="1" applyAlignment="1">
      <alignment vertical="center"/>
    </xf>
    <xf numFmtId="1" fontId="9" fillId="0" borderId="0" xfId="0" applyNumberFormat="1" applyFont="1" applyAlignment="1">
      <alignment vertical="center"/>
    </xf>
    <xf numFmtId="43" fontId="0" fillId="0" borderId="24" xfId="42" applyFont="1" applyFill="1" applyBorder="1" applyAlignment="1">
      <alignment horizontal="right" vertical="center"/>
    </xf>
    <xf numFmtId="210" fontId="5" fillId="0" borderId="25" xfId="42" applyNumberFormat="1" applyFont="1" applyBorder="1" applyAlignment="1">
      <alignment vertical="center"/>
    </xf>
    <xf numFmtId="210" fontId="5" fillId="0" borderId="26" xfId="42" applyNumberFormat="1" applyFont="1" applyBorder="1" applyAlignment="1">
      <alignment vertical="center"/>
    </xf>
    <xf numFmtId="213" fontId="6" fillId="4" borderId="23" xfId="0" applyNumberFormat="1" applyFont="1" applyFill="1" applyBorder="1" applyAlignment="1">
      <alignment horizontal="center" vertical="center"/>
    </xf>
    <xf numFmtId="213" fontId="6" fillId="4" borderId="20" xfId="0" applyNumberFormat="1" applyFont="1" applyFill="1" applyBorder="1" applyAlignment="1">
      <alignment horizontal="center" vertical="center"/>
    </xf>
    <xf numFmtId="213" fontId="6" fillId="4" borderId="27" xfId="0" applyNumberFormat="1" applyFont="1" applyFill="1" applyBorder="1" applyAlignment="1">
      <alignment horizontal="center" vertical="center"/>
    </xf>
    <xf numFmtId="204" fontId="9" fillId="0" borderId="0" xfId="0" applyNumberFormat="1" applyFont="1" applyAlignment="1">
      <alignment vertical="center"/>
    </xf>
    <xf numFmtId="210" fontId="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" fontId="6" fillId="4" borderId="23" xfId="0" applyNumberFormat="1" applyFont="1" applyFill="1" applyBorder="1" applyAlignment="1" quotePrefix="1">
      <alignment horizontal="center" vertical="center"/>
    </xf>
    <xf numFmtId="3" fontId="6" fillId="4" borderId="20" xfId="0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23" xfId="0" applyNumberFormat="1" applyFont="1" applyFill="1" applyBorder="1" applyAlignment="1">
      <alignment horizontal="center" vertical="center"/>
    </xf>
    <xf numFmtId="0" fontId="2" fillId="0" borderId="12" xfId="0" applyFont="1" applyBorder="1" applyAlignment="1" quotePrefix="1">
      <alignment horizontal="right" vertical="center"/>
    </xf>
    <xf numFmtId="43" fontId="2" fillId="0" borderId="10" xfId="0" applyNumberFormat="1" applyFont="1" applyBorder="1" applyAlignment="1">
      <alignment horizontal="center" vertical="center"/>
    </xf>
    <xf numFmtId="43" fontId="6" fillId="0" borderId="28" xfId="42" applyFont="1" applyBorder="1" applyAlignment="1">
      <alignment horizontal="center" vertical="center"/>
    </xf>
    <xf numFmtId="43" fontId="2" fillId="0" borderId="18" xfId="42" applyFont="1" applyBorder="1" applyAlignment="1">
      <alignment vertical="center"/>
    </xf>
    <xf numFmtId="205" fontId="2" fillId="0" borderId="18" xfId="42" applyNumberFormat="1" applyFont="1" applyBorder="1" applyAlignment="1">
      <alignment horizontal="center" vertical="center"/>
    </xf>
    <xf numFmtId="43" fontId="2" fillId="0" borderId="18" xfId="42" applyFont="1" applyBorder="1" applyAlignment="1">
      <alignment horizontal="center" vertical="center"/>
    </xf>
    <xf numFmtId="43" fontId="2" fillId="0" borderId="29" xfId="42" applyFont="1" applyBorder="1" applyAlignment="1">
      <alignment vertical="center"/>
    </xf>
    <xf numFmtId="43" fontId="2" fillId="0" borderId="17" xfId="42" applyFont="1" applyBorder="1" applyAlignment="1">
      <alignment vertical="center"/>
    </xf>
    <xf numFmtId="4" fontId="2" fillId="0" borderId="29" xfId="0" applyNumberFormat="1" applyFont="1" applyBorder="1" applyAlignment="1">
      <alignment horizontal="right" vertical="center"/>
    </xf>
    <xf numFmtId="43" fontId="2" fillId="0" borderId="11" xfId="42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3" fontId="2" fillId="0" borderId="18" xfId="42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211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204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3" fontId="0" fillId="0" borderId="24" xfId="42" applyFont="1" applyFill="1" applyBorder="1" applyAlignment="1">
      <alignment vertical="center"/>
    </xf>
    <xf numFmtId="215" fontId="0" fillId="0" borderId="0" xfId="0" applyNumberFormat="1" applyAlignment="1">
      <alignment vertical="center"/>
    </xf>
    <xf numFmtId="43" fontId="0" fillId="0" borderId="17" xfId="42" applyFont="1" applyBorder="1" applyAlignment="1">
      <alignment vertical="center"/>
    </xf>
    <xf numFmtId="210" fontId="5" fillId="0" borderId="30" xfId="42" applyNumberFormat="1" applyFont="1" applyBorder="1" applyAlignment="1">
      <alignment vertical="center"/>
    </xf>
    <xf numFmtId="43" fontId="0" fillId="0" borderId="24" xfId="42" applyFont="1" applyBorder="1" applyAlignment="1">
      <alignment vertical="center"/>
    </xf>
    <xf numFmtId="41" fontId="13" fillId="0" borderId="24" xfId="42" applyNumberFormat="1" applyFont="1" applyBorder="1" applyAlignment="1">
      <alignment vertical="center"/>
    </xf>
    <xf numFmtId="210" fontId="4" fillId="0" borderId="31" xfId="42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215" fontId="0" fillId="0" borderId="11" xfId="42" applyNumberFormat="1" applyFont="1" applyFill="1" applyBorder="1" applyAlignment="1">
      <alignment horizontal="right" vertical="center"/>
    </xf>
    <xf numFmtId="211" fontId="0" fillId="0" borderId="11" xfId="42" applyNumberFormat="1" applyFont="1" applyFill="1" applyBorder="1" applyAlignment="1">
      <alignment horizontal="right" vertical="center"/>
    </xf>
    <xf numFmtId="43" fontId="0" fillId="0" borderId="24" xfId="42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213" fontId="6" fillId="4" borderId="34" xfId="0" applyNumberFormat="1" applyFont="1" applyFill="1" applyBorder="1" applyAlignment="1">
      <alignment horizontal="center" vertical="center"/>
    </xf>
    <xf numFmtId="213" fontId="6" fillId="4" borderId="17" xfId="0" applyNumberFormat="1" applyFont="1" applyFill="1" applyBorder="1" applyAlignment="1">
      <alignment horizontal="center" vertical="center"/>
    </xf>
    <xf numFmtId="213" fontId="6" fillId="4" borderId="35" xfId="0" applyNumberFormat="1" applyFont="1" applyFill="1" applyBorder="1" applyAlignment="1">
      <alignment horizontal="center" vertical="center"/>
    </xf>
    <xf numFmtId="213" fontId="6" fillId="4" borderId="21" xfId="0" applyNumberFormat="1" applyFont="1" applyFill="1" applyBorder="1" applyAlignment="1">
      <alignment horizontal="center" vertical="center"/>
    </xf>
    <xf numFmtId="211" fontId="13" fillId="0" borderId="33" xfId="0" applyNumberFormat="1" applyFont="1" applyBorder="1" applyAlignment="1">
      <alignment vertical="center"/>
    </xf>
    <xf numFmtId="43" fontId="6" fillId="0" borderId="36" xfId="42" applyFont="1" applyBorder="1" applyAlignment="1">
      <alignment vertical="center"/>
    </xf>
    <xf numFmtId="43" fontId="6" fillId="0" borderId="18" xfId="42" applyFont="1" applyBorder="1" applyAlignment="1">
      <alignment horizontal="left" vertical="center"/>
    </xf>
    <xf numFmtId="43" fontId="6" fillId="0" borderId="36" xfId="42" applyFont="1" applyBorder="1" applyAlignment="1">
      <alignment horizontal="left" vertical="center"/>
    </xf>
    <xf numFmtId="210" fontId="4" fillId="0" borderId="37" xfId="42" applyNumberFormat="1" applyFont="1" applyBorder="1" applyAlignment="1">
      <alignment vertical="center"/>
    </xf>
    <xf numFmtId="210" fontId="4" fillId="0" borderId="18" xfId="42" applyNumberFormat="1" applyFont="1" applyBorder="1" applyAlignment="1">
      <alignment vertical="center"/>
    </xf>
    <xf numFmtId="210" fontId="4" fillId="0" borderId="38" xfId="42" applyNumberFormat="1" applyFont="1" applyFill="1" applyBorder="1" applyAlignment="1">
      <alignment vertical="center"/>
    </xf>
    <xf numFmtId="210" fontId="4" fillId="0" borderId="36" xfId="42" applyNumberFormat="1" applyFont="1" applyFill="1" applyBorder="1" applyAlignment="1">
      <alignment vertical="center"/>
    </xf>
    <xf numFmtId="210" fontId="5" fillId="0" borderId="37" xfId="42" applyNumberFormat="1" applyFont="1" applyBorder="1" applyAlignment="1">
      <alignment vertical="center"/>
    </xf>
    <xf numFmtId="210" fontId="5" fillId="0" borderId="22" xfId="42" applyNumberFormat="1" applyFont="1" applyBorder="1" applyAlignment="1">
      <alignment vertical="center"/>
    </xf>
    <xf numFmtId="9" fontId="5" fillId="0" borderId="0" xfId="0" applyNumberFormat="1" applyFont="1" applyAlignment="1">
      <alignment horizontal="center" vertical="center"/>
    </xf>
    <xf numFmtId="9" fontId="5" fillId="0" borderId="0" xfId="57" applyNumberFormat="1" applyFont="1" applyAlignment="1">
      <alignment horizontal="center" vertical="center"/>
    </xf>
    <xf numFmtId="0" fontId="6" fillId="4" borderId="21" xfId="0" applyFont="1" applyFill="1" applyBorder="1" applyAlignment="1">
      <alignment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210" fontId="5" fillId="25" borderId="38" xfId="42" applyNumberFormat="1" applyFont="1" applyFill="1" applyBorder="1" applyAlignment="1">
      <alignment vertical="center"/>
    </xf>
    <xf numFmtId="210" fontId="4" fillId="25" borderId="38" xfId="42" applyNumberFormat="1" applyFont="1" applyFill="1" applyBorder="1" applyAlignment="1">
      <alignment vertical="center"/>
    </xf>
    <xf numFmtId="210" fontId="7" fillId="22" borderId="37" xfId="42" applyNumberFormat="1" applyFont="1" applyFill="1" applyBorder="1" applyAlignment="1">
      <alignment vertical="center"/>
    </xf>
    <xf numFmtId="210" fontId="7" fillId="22" borderId="18" xfId="42" applyNumberFormat="1" applyFont="1" applyFill="1" applyBorder="1" applyAlignment="1">
      <alignment vertical="center"/>
    </xf>
    <xf numFmtId="210" fontId="4" fillId="22" borderId="37" xfId="42" applyNumberFormat="1" applyFont="1" applyFill="1" applyBorder="1" applyAlignment="1">
      <alignment vertical="center"/>
    </xf>
    <xf numFmtId="210" fontId="5" fillId="0" borderId="38" xfId="42" applyNumberFormat="1" applyFont="1" applyFill="1" applyBorder="1" applyAlignment="1">
      <alignment vertical="center"/>
    </xf>
    <xf numFmtId="210" fontId="5" fillId="0" borderId="36" xfId="42" applyNumberFormat="1" applyFont="1" applyFill="1" applyBorder="1" applyAlignment="1">
      <alignment vertical="center"/>
    </xf>
    <xf numFmtId="43" fontId="6" fillId="25" borderId="21" xfId="42" applyFont="1" applyFill="1" applyBorder="1" applyAlignment="1">
      <alignment vertical="center"/>
    </xf>
    <xf numFmtId="43" fontId="3" fillId="25" borderId="16" xfId="42" applyFont="1" applyFill="1" applyBorder="1" applyAlignment="1">
      <alignment horizontal="center" vertical="center"/>
    </xf>
    <xf numFmtId="43" fontId="6" fillId="25" borderId="29" xfId="42" applyFont="1" applyFill="1" applyBorder="1" applyAlignment="1">
      <alignment vertical="center"/>
    </xf>
    <xf numFmtId="43" fontId="6" fillId="25" borderId="17" xfId="42" applyFont="1" applyFill="1" applyBorder="1" applyAlignment="1">
      <alignment vertical="center"/>
    </xf>
    <xf numFmtId="4" fontId="6" fillId="25" borderId="29" xfId="0" applyNumberFormat="1" applyFont="1" applyFill="1" applyBorder="1" applyAlignment="1">
      <alignment horizontal="right" vertical="center"/>
    </xf>
    <xf numFmtId="43" fontId="2" fillId="25" borderId="17" xfId="0" applyNumberFormat="1" applyFont="1" applyFill="1" applyBorder="1" applyAlignment="1">
      <alignment horizontal="center" vertical="center"/>
    </xf>
    <xf numFmtId="43" fontId="6" fillId="25" borderId="36" xfId="42" applyFont="1" applyFill="1" applyBorder="1" applyAlignment="1">
      <alignment horizontal="left" vertical="center"/>
    </xf>
    <xf numFmtId="43" fontId="6" fillId="22" borderId="22" xfId="42" applyFont="1" applyFill="1" applyBorder="1" applyAlignment="1">
      <alignment vertical="center"/>
    </xf>
    <xf numFmtId="43" fontId="6" fillId="22" borderId="28" xfId="42" applyFont="1" applyFill="1" applyBorder="1" applyAlignment="1">
      <alignment vertical="center"/>
    </xf>
    <xf numFmtId="43" fontId="6" fillId="22" borderId="19" xfId="42" applyFont="1" applyFill="1" applyBorder="1" applyAlignment="1">
      <alignment vertical="center"/>
    </xf>
    <xf numFmtId="43" fontId="6" fillId="22" borderId="18" xfId="42" applyFont="1" applyFill="1" applyBorder="1" applyAlignment="1">
      <alignment vertical="center"/>
    </xf>
    <xf numFmtId="4" fontId="6" fillId="22" borderId="19" xfId="0" applyNumberFormat="1" applyFont="1" applyFill="1" applyBorder="1" applyAlignment="1">
      <alignment horizontal="right" vertical="center"/>
    </xf>
    <xf numFmtId="43" fontId="0" fillId="22" borderId="18" xfId="42" applyFont="1" applyFill="1" applyBorder="1" applyAlignment="1">
      <alignment horizontal="center" vertical="center"/>
    </xf>
    <xf numFmtId="43" fontId="6" fillId="22" borderId="18" xfId="42" applyFont="1" applyFill="1" applyBorder="1" applyAlignment="1">
      <alignment horizontal="left" vertical="center"/>
    </xf>
    <xf numFmtId="0" fontId="3" fillId="22" borderId="22" xfId="0" applyFont="1" applyFill="1" applyBorder="1" applyAlignment="1">
      <alignment vertical="center"/>
    </xf>
    <xf numFmtId="0" fontId="3" fillId="22" borderId="28" xfId="0" applyFont="1" applyFill="1" applyBorder="1" applyAlignment="1">
      <alignment horizontal="center" vertical="center"/>
    </xf>
    <xf numFmtId="0" fontId="3" fillId="22" borderId="18" xfId="0" applyFont="1" applyFill="1" applyBorder="1" applyAlignment="1">
      <alignment horizontal="center" vertical="center"/>
    </xf>
    <xf numFmtId="0" fontId="3" fillId="22" borderId="18" xfId="0" applyFont="1" applyFill="1" applyBorder="1" applyAlignment="1">
      <alignment vertical="center"/>
    </xf>
    <xf numFmtId="0" fontId="3" fillId="25" borderId="21" xfId="0" applyFont="1" applyFill="1" applyBorder="1" applyAlignment="1">
      <alignment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vertical="center"/>
    </xf>
    <xf numFmtId="43" fontId="6" fillId="25" borderId="36" xfId="42" applyFont="1" applyFill="1" applyBorder="1" applyAlignment="1">
      <alignment vertical="center"/>
    </xf>
    <xf numFmtId="210" fontId="4" fillId="0" borderId="31" xfId="57" applyNumberFormat="1" applyFont="1" applyBorder="1" applyAlignment="1">
      <alignment vertical="center"/>
    </xf>
    <xf numFmtId="0" fontId="0" fillId="4" borderId="33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8825"/>
          <c:h val="0.976"/>
        </c:manualLayout>
      </c:layout>
      <c:lineChart>
        <c:grouping val="standard"/>
        <c:varyColors val="0"/>
        <c:ser>
          <c:idx val="0"/>
          <c:order val="0"/>
          <c:tx>
            <c:strRef>
              <c:f>'มีนาคม 2551'!$F$61</c:f>
              <c:strCache>
                <c:ptCount val="1"/>
                <c:pt idx="0">
                  <c:v>Acc Plan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'มีนาคม 2551'!$G$61:$Z$61</c:f>
              <c:numCache/>
            </c:numRef>
          </c:val>
          <c:smooth val="0"/>
        </c:ser>
        <c:ser>
          <c:idx val="1"/>
          <c:order val="1"/>
          <c:tx>
            <c:strRef>
              <c:f>'มีนาคม 2551'!$F$62</c:f>
              <c:strCache>
                <c:ptCount val="1"/>
                <c:pt idx="0">
                  <c:v>Acc Actual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'มีนาคม 2551'!$G$62:$Z$62</c:f>
              <c:numCache/>
            </c:numRef>
          </c:val>
          <c:smooth val="0"/>
        </c:ser>
        <c:marker val="1"/>
        <c:axId val="24747930"/>
        <c:axId val="21404779"/>
      </c:lineChart>
      <c:catAx>
        <c:axId val="24747930"/>
        <c:scaling>
          <c:orientation val="minMax"/>
        </c:scaling>
        <c:axPos val="b"/>
        <c:delete val="1"/>
        <c:majorTickMark val="out"/>
        <c:minorTickMark val="none"/>
        <c:tickLblPos val="nextTo"/>
        <c:crossAx val="21404779"/>
        <c:crosses val="autoZero"/>
        <c:auto val="1"/>
        <c:lblOffset val="100"/>
        <c:tickLblSkip val="1"/>
        <c:noMultiLvlLbl val="0"/>
      </c:catAx>
      <c:valAx>
        <c:axId val="21404779"/>
        <c:scaling>
          <c:orientation val="minMax"/>
        </c:scaling>
        <c:axPos val="l"/>
        <c:delete val="1"/>
        <c:majorTickMark val="out"/>
        <c:minorTickMark val="none"/>
        <c:tickLblPos val="nextTo"/>
        <c:crossAx val="24747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1125"/>
          <c:w val="0.9885"/>
          <c:h val="0.9775"/>
        </c:manualLayout>
      </c:layout>
      <c:lineChart>
        <c:grouping val="standard"/>
        <c:varyColors val="0"/>
        <c:ser>
          <c:idx val="0"/>
          <c:order val="0"/>
          <c:tx>
            <c:strRef>
              <c:f>'Back up'!$F$61</c:f>
              <c:strCache>
                <c:ptCount val="1"/>
                <c:pt idx="0">
                  <c:v>Acc Plan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'Back up'!$G$61:$Z$61</c:f>
              <c:numCache>
                <c:ptCount val="20"/>
                <c:pt idx="0">
                  <c:v>0</c:v>
                </c:pt>
                <c:pt idx="1">
                  <c:v>2862092.1621621624</c:v>
                </c:pt>
                <c:pt idx="2">
                  <c:v>8659306.216216218</c:v>
                </c:pt>
                <c:pt idx="3">
                  <c:v>11655547.297297299</c:v>
                </c:pt>
                <c:pt idx="4">
                  <c:v>14651788.37837838</c:v>
                </c:pt>
                <c:pt idx="5">
                  <c:v>17648029.45945946</c:v>
                </c:pt>
                <c:pt idx="6">
                  <c:v>20644270.540540542</c:v>
                </c:pt>
                <c:pt idx="7">
                  <c:v>24425850.270270273</c:v>
                </c:pt>
                <c:pt idx="8">
                  <c:v>31840056.216216218</c:v>
                </c:pt>
                <c:pt idx="9">
                  <c:v>45300576.04118404</c:v>
                </c:pt>
                <c:pt idx="10">
                  <c:v>60107400.79107679</c:v>
                </c:pt>
                <c:pt idx="11">
                  <c:v>79579717.16859716</c:v>
                </c:pt>
                <c:pt idx="12">
                  <c:v>96607441.96053195</c:v>
                </c:pt>
                <c:pt idx="13">
                  <c:v>108209573.50922349</c:v>
                </c:pt>
                <c:pt idx="14">
                  <c:v>121535150.19305018</c:v>
                </c:pt>
                <c:pt idx="15">
                  <c:v>131860670.93093091</c:v>
                </c:pt>
                <c:pt idx="16">
                  <c:v>142186191.66881165</c:v>
                </c:pt>
                <c:pt idx="17">
                  <c:v>152511712.4066924</c:v>
                </c:pt>
                <c:pt idx="18">
                  <c:v>162837233.14457312</c:v>
                </c:pt>
                <c:pt idx="19">
                  <c:v>167999999.99999997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'Back up'!$F$62</c:f>
              <c:strCache>
                <c:ptCount val="1"/>
                <c:pt idx="0">
                  <c:v>Acc Actual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'Back up'!$G$62:$Z$62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6753858.7</c:v>
                </c:pt>
                <c:pt idx="3">
                  <c:v>10669924.01</c:v>
                </c:pt>
                <c:pt idx="4">
                  <c:v>19054663.38</c:v>
                </c:pt>
                <c:pt idx="5">
                  <c:v>22970966.23</c:v>
                </c:pt>
                <c:pt idx="6">
                  <c:v>26942316.580000002</c:v>
                </c:pt>
                <c:pt idx="7">
                  <c:v>32710329.53</c:v>
                </c:pt>
                <c:pt idx="8">
                  <c:v>38223545.03</c:v>
                </c:pt>
              </c:numCache>
            </c:numRef>
          </c:val>
          <c:smooth val="0"/>
        </c:ser>
        <c:marker val="1"/>
        <c:axId val="58425284"/>
        <c:axId val="56065509"/>
      </c:lineChart>
      <c:catAx>
        <c:axId val="58425284"/>
        <c:scaling>
          <c:orientation val="minMax"/>
        </c:scaling>
        <c:axPos val="b"/>
        <c:delete val="1"/>
        <c:majorTickMark val="out"/>
        <c:minorTickMark val="none"/>
        <c:tickLblPos val="nextTo"/>
        <c:crossAx val="56065509"/>
        <c:crosses val="autoZero"/>
        <c:auto val="1"/>
        <c:lblOffset val="100"/>
        <c:tickLblSkip val="1"/>
        <c:noMultiLvlLbl val="0"/>
      </c:catAx>
      <c:valAx>
        <c:axId val="56065509"/>
        <c:scaling>
          <c:orientation val="minMax"/>
        </c:scaling>
        <c:axPos val="l"/>
        <c:delete val="1"/>
        <c:majorTickMark val="out"/>
        <c:minorTickMark val="none"/>
        <c:tickLblPos val="nextTo"/>
        <c:crossAx val="58425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2"/>
          <c:w val="0.9905"/>
          <c:h val="0.97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'Back up'!$G$61:$Z$61</c:f>
              <c:numCache>
                <c:ptCount val="20"/>
                <c:pt idx="0">
                  <c:v>0</c:v>
                </c:pt>
                <c:pt idx="1">
                  <c:v>2862092.1621621624</c:v>
                </c:pt>
                <c:pt idx="2">
                  <c:v>8659306.216216218</c:v>
                </c:pt>
                <c:pt idx="3">
                  <c:v>11655547.297297299</c:v>
                </c:pt>
                <c:pt idx="4">
                  <c:v>14651788.37837838</c:v>
                </c:pt>
                <c:pt idx="5">
                  <c:v>17648029.45945946</c:v>
                </c:pt>
                <c:pt idx="6">
                  <c:v>20644270.540540542</c:v>
                </c:pt>
                <c:pt idx="7">
                  <c:v>24425850.270270273</c:v>
                </c:pt>
                <c:pt idx="8">
                  <c:v>31840056.216216218</c:v>
                </c:pt>
                <c:pt idx="9">
                  <c:v>45300576.04118404</c:v>
                </c:pt>
                <c:pt idx="10">
                  <c:v>60107400.79107679</c:v>
                </c:pt>
                <c:pt idx="11">
                  <c:v>79579717.16859716</c:v>
                </c:pt>
                <c:pt idx="12">
                  <c:v>96607441.96053195</c:v>
                </c:pt>
                <c:pt idx="13">
                  <c:v>108209573.50922349</c:v>
                </c:pt>
                <c:pt idx="14">
                  <c:v>121535150.19305018</c:v>
                </c:pt>
                <c:pt idx="15">
                  <c:v>131860670.93093091</c:v>
                </c:pt>
                <c:pt idx="16">
                  <c:v>142186191.66881165</c:v>
                </c:pt>
                <c:pt idx="17">
                  <c:v>152511712.4066924</c:v>
                </c:pt>
                <c:pt idx="18">
                  <c:v>162837233.14457312</c:v>
                </c:pt>
                <c:pt idx="19">
                  <c:v>167999999.99999997</c:v>
                </c:pt>
              </c:numCache>
            </c:numRef>
          </c:val>
          <c:smooth val="0"/>
        </c:ser>
        <c:marker val="1"/>
        <c:axId val="34827534"/>
        <c:axId val="45012351"/>
      </c:lineChart>
      <c:catAx>
        <c:axId val="34827534"/>
        <c:scaling>
          <c:orientation val="minMax"/>
        </c:scaling>
        <c:axPos val="b"/>
        <c:delete val="1"/>
        <c:majorTickMark val="out"/>
        <c:minorTickMark val="none"/>
        <c:tickLblPos val="nextTo"/>
        <c:crossAx val="45012351"/>
        <c:crosses val="autoZero"/>
        <c:auto val="1"/>
        <c:lblOffset val="100"/>
        <c:tickLblSkip val="1"/>
        <c:noMultiLvlLbl val="0"/>
      </c:catAx>
      <c:valAx>
        <c:axId val="45012351"/>
        <c:scaling>
          <c:orientation val="minMax"/>
        </c:scaling>
        <c:axPos val="l"/>
        <c:delete val="1"/>
        <c:majorTickMark val="out"/>
        <c:minorTickMark val="none"/>
        <c:tickLblPos val="nextTo"/>
        <c:crossAx val="34827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0" y="800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56</xdr:row>
      <xdr:rowOff>57150</xdr:rowOff>
    </xdr:from>
    <xdr:to>
      <xdr:col>6</xdr:col>
      <xdr:colOff>523875</xdr:colOff>
      <xdr:row>56</xdr:row>
      <xdr:rowOff>190500</xdr:rowOff>
    </xdr:to>
    <xdr:sp>
      <xdr:nvSpPr>
        <xdr:cNvPr id="2" name="Oval 2"/>
        <xdr:cNvSpPr>
          <a:spLocks noChangeAspect="1"/>
        </xdr:cNvSpPr>
      </xdr:nvSpPr>
      <xdr:spPr>
        <a:xfrm>
          <a:off x="5972175" y="12144375"/>
          <a:ext cx="142875" cy="1428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56</xdr:row>
      <xdr:rowOff>47625</xdr:rowOff>
    </xdr:from>
    <xdr:to>
      <xdr:col>3</xdr:col>
      <xdr:colOff>276225</xdr:colOff>
      <xdr:row>56</xdr:row>
      <xdr:rowOff>200025</xdr:rowOff>
    </xdr:to>
    <xdr:sp>
      <xdr:nvSpPr>
        <xdr:cNvPr id="3" name="AutoShape 3"/>
        <xdr:cNvSpPr>
          <a:spLocks noChangeAspect="1"/>
        </xdr:cNvSpPr>
      </xdr:nvSpPr>
      <xdr:spPr>
        <a:xfrm>
          <a:off x="3314700" y="12134850"/>
          <a:ext cx="209550" cy="161925"/>
        </a:xfrm>
        <a:prstGeom prst="flowChartDecisi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7</xdr:row>
      <xdr:rowOff>28575</xdr:rowOff>
    </xdr:from>
    <xdr:to>
      <xdr:col>8</xdr:col>
      <xdr:colOff>9525</xdr:colOff>
      <xdr:row>8</xdr:row>
      <xdr:rowOff>9525</xdr:rowOff>
    </xdr:to>
    <xdr:sp>
      <xdr:nvSpPr>
        <xdr:cNvPr id="4" name="Rectangle 5"/>
        <xdr:cNvSpPr>
          <a:spLocks/>
        </xdr:cNvSpPr>
      </xdr:nvSpPr>
      <xdr:spPr>
        <a:xfrm flipH="1">
          <a:off x="6943725" y="1800225"/>
          <a:ext cx="44767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5" name="Rectangle 6"/>
        <xdr:cNvSpPr>
          <a:spLocks/>
        </xdr:cNvSpPr>
      </xdr:nvSpPr>
      <xdr:spPr>
        <a:xfrm flipH="1">
          <a:off x="22383750" y="880110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6" name="Rectangle 7"/>
        <xdr:cNvSpPr>
          <a:spLocks/>
        </xdr:cNvSpPr>
      </xdr:nvSpPr>
      <xdr:spPr>
        <a:xfrm flipH="1">
          <a:off x="22383750" y="880110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7" name="Line 8"/>
        <xdr:cNvSpPr>
          <a:spLocks/>
        </xdr:cNvSpPr>
      </xdr:nvSpPr>
      <xdr:spPr>
        <a:xfrm>
          <a:off x="6572250" y="800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9525</xdr:rowOff>
    </xdr:from>
    <xdr:to>
      <xdr:col>25</xdr:col>
      <xdr:colOff>409575</xdr:colOff>
      <xdr:row>8</xdr:row>
      <xdr:rowOff>9525</xdr:rowOff>
    </xdr:to>
    <xdr:sp>
      <xdr:nvSpPr>
        <xdr:cNvPr id="8" name="Rectangle 9"/>
        <xdr:cNvSpPr>
          <a:spLocks/>
        </xdr:cNvSpPr>
      </xdr:nvSpPr>
      <xdr:spPr>
        <a:xfrm flipH="1">
          <a:off x="21145500" y="1781175"/>
          <a:ext cx="4095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9525</xdr:rowOff>
    </xdr:from>
    <xdr:to>
      <xdr:col>8</xdr:col>
      <xdr:colOff>9525</xdr:colOff>
      <xdr:row>12</xdr:row>
      <xdr:rowOff>9525</xdr:rowOff>
    </xdr:to>
    <xdr:sp>
      <xdr:nvSpPr>
        <xdr:cNvPr id="9" name="Rectangle 10"/>
        <xdr:cNvSpPr>
          <a:spLocks/>
        </xdr:cNvSpPr>
      </xdr:nvSpPr>
      <xdr:spPr>
        <a:xfrm flipH="1">
          <a:off x="7191375" y="2600325"/>
          <a:ext cx="2000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9525</xdr:rowOff>
    </xdr:from>
    <xdr:to>
      <xdr:col>13</xdr:col>
      <xdr:colOff>600075</xdr:colOff>
      <xdr:row>12</xdr:row>
      <xdr:rowOff>9525</xdr:rowOff>
    </xdr:to>
    <xdr:sp>
      <xdr:nvSpPr>
        <xdr:cNvPr id="10" name="Rectangle 11"/>
        <xdr:cNvSpPr>
          <a:spLocks/>
        </xdr:cNvSpPr>
      </xdr:nvSpPr>
      <xdr:spPr>
        <a:xfrm flipH="1">
          <a:off x="11430000" y="2600325"/>
          <a:ext cx="6000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14</xdr:col>
      <xdr:colOff>219075</xdr:colOff>
      <xdr:row>16</xdr:row>
      <xdr:rowOff>0</xdr:rowOff>
    </xdr:to>
    <xdr:sp>
      <xdr:nvSpPr>
        <xdr:cNvPr id="11" name="Rectangle 12"/>
        <xdr:cNvSpPr>
          <a:spLocks/>
        </xdr:cNvSpPr>
      </xdr:nvSpPr>
      <xdr:spPr>
        <a:xfrm flipH="1">
          <a:off x="12268200" y="3409950"/>
          <a:ext cx="1905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638175</xdr:colOff>
      <xdr:row>15</xdr:row>
      <xdr:rowOff>0</xdr:rowOff>
    </xdr:from>
    <xdr:to>
      <xdr:col>14</xdr:col>
      <xdr:colOff>9525</xdr:colOff>
      <xdr:row>16</xdr:row>
      <xdr:rowOff>0</xdr:rowOff>
    </xdr:to>
    <xdr:sp>
      <xdr:nvSpPr>
        <xdr:cNvPr id="12" name="Rectangle 13"/>
        <xdr:cNvSpPr>
          <a:spLocks/>
        </xdr:cNvSpPr>
      </xdr:nvSpPr>
      <xdr:spPr>
        <a:xfrm flipH="1">
          <a:off x="12068175" y="3409950"/>
          <a:ext cx="1809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18</xdr:row>
      <xdr:rowOff>0</xdr:rowOff>
    </xdr:from>
    <xdr:to>
      <xdr:col>15</xdr:col>
      <xdr:colOff>9525</xdr:colOff>
      <xdr:row>19</xdr:row>
      <xdr:rowOff>0</xdr:rowOff>
    </xdr:to>
    <xdr:sp>
      <xdr:nvSpPr>
        <xdr:cNvPr id="13" name="Rectangle 14"/>
        <xdr:cNvSpPr>
          <a:spLocks/>
        </xdr:cNvSpPr>
      </xdr:nvSpPr>
      <xdr:spPr>
        <a:xfrm flipH="1">
          <a:off x="12468225" y="3981450"/>
          <a:ext cx="5905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9525</xdr:rowOff>
    </xdr:from>
    <xdr:to>
      <xdr:col>17</xdr:col>
      <xdr:colOff>228600</xdr:colOff>
      <xdr:row>22</xdr:row>
      <xdr:rowOff>9525</xdr:rowOff>
    </xdr:to>
    <xdr:sp>
      <xdr:nvSpPr>
        <xdr:cNvPr id="14" name="Rectangle 15"/>
        <xdr:cNvSpPr>
          <a:spLocks/>
        </xdr:cNvSpPr>
      </xdr:nvSpPr>
      <xdr:spPr>
        <a:xfrm flipH="1">
          <a:off x="14668500" y="4562475"/>
          <a:ext cx="2286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24</xdr:row>
      <xdr:rowOff>0</xdr:rowOff>
    </xdr:from>
    <xdr:to>
      <xdr:col>18</xdr:col>
      <xdr:colOff>9525</xdr:colOff>
      <xdr:row>25</xdr:row>
      <xdr:rowOff>0</xdr:rowOff>
    </xdr:to>
    <xdr:sp>
      <xdr:nvSpPr>
        <xdr:cNvPr id="15" name="Rectangle 16"/>
        <xdr:cNvSpPr>
          <a:spLocks/>
        </xdr:cNvSpPr>
      </xdr:nvSpPr>
      <xdr:spPr>
        <a:xfrm flipH="1">
          <a:off x="14897100" y="5124450"/>
          <a:ext cx="5905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24</xdr:row>
      <xdr:rowOff>0</xdr:rowOff>
    </xdr:from>
    <xdr:to>
      <xdr:col>18</xdr:col>
      <xdr:colOff>609600</xdr:colOff>
      <xdr:row>25</xdr:row>
      <xdr:rowOff>0</xdr:rowOff>
    </xdr:to>
    <xdr:sp>
      <xdr:nvSpPr>
        <xdr:cNvPr id="16" name="Rectangle 17"/>
        <xdr:cNvSpPr>
          <a:spLocks/>
        </xdr:cNvSpPr>
      </xdr:nvSpPr>
      <xdr:spPr>
        <a:xfrm flipH="1">
          <a:off x="15487650" y="5124450"/>
          <a:ext cx="6000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638175</xdr:colOff>
      <xdr:row>27</xdr:row>
      <xdr:rowOff>28575</xdr:rowOff>
    </xdr:from>
    <xdr:to>
      <xdr:col>19</xdr:col>
      <xdr:colOff>9525</xdr:colOff>
      <xdr:row>28</xdr:row>
      <xdr:rowOff>28575</xdr:rowOff>
    </xdr:to>
    <xdr:sp>
      <xdr:nvSpPr>
        <xdr:cNvPr id="17" name="Rectangle 18"/>
        <xdr:cNvSpPr>
          <a:spLocks/>
        </xdr:cNvSpPr>
      </xdr:nvSpPr>
      <xdr:spPr>
        <a:xfrm flipH="1">
          <a:off x="16116300" y="5724525"/>
          <a:ext cx="1809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609600</xdr:colOff>
      <xdr:row>28</xdr:row>
      <xdr:rowOff>9525</xdr:rowOff>
    </xdr:to>
    <xdr:sp>
      <xdr:nvSpPr>
        <xdr:cNvPr id="18" name="Rectangle 19"/>
        <xdr:cNvSpPr>
          <a:spLocks/>
        </xdr:cNvSpPr>
      </xdr:nvSpPr>
      <xdr:spPr>
        <a:xfrm flipH="1">
          <a:off x="17106900" y="5705475"/>
          <a:ext cx="6000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9525</xdr:rowOff>
    </xdr:from>
    <xdr:to>
      <xdr:col>25</xdr:col>
      <xdr:colOff>381000</xdr:colOff>
      <xdr:row>35</xdr:row>
      <xdr:rowOff>9525</xdr:rowOff>
    </xdr:to>
    <xdr:sp>
      <xdr:nvSpPr>
        <xdr:cNvPr id="19" name="Rectangle 20"/>
        <xdr:cNvSpPr>
          <a:spLocks/>
        </xdr:cNvSpPr>
      </xdr:nvSpPr>
      <xdr:spPr>
        <a:xfrm flipH="1">
          <a:off x="21145500" y="7096125"/>
          <a:ext cx="3810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37</xdr:row>
      <xdr:rowOff>9525</xdr:rowOff>
    </xdr:from>
    <xdr:to>
      <xdr:col>17</xdr:col>
      <xdr:colOff>0</xdr:colOff>
      <xdr:row>38</xdr:row>
      <xdr:rowOff>9525</xdr:rowOff>
    </xdr:to>
    <xdr:sp>
      <xdr:nvSpPr>
        <xdr:cNvPr id="20" name="Rectangle 21"/>
        <xdr:cNvSpPr>
          <a:spLocks/>
        </xdr:cNvSpPr>
      </xdr:nvSpPr>
      <xdr:spPr>
        <a:xfrm flipH="1">
          <a:off x="14239875" y="7667625"/>
          <a:ext cx="4286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790575</xdr:colOff>
      <xdr:row>37</xdr:row>
      <xdr:rowOff>9525</xdr:rowOff>
    </xdr:from>
    <xdr:to>
      <xdr:col>25</xdr:col>
      <xdr:colOff>371475</xdr:colOff>
      <xdr:row>38</xdr:row>
      <xdr:rowOff>9525</xdr:rowOff>
    </xdr:to>
    <xdr:sp>
      <xdr:nvSpPr>
        <xdr:cNvPr id="21" name="Rectangle 22"/>
        <xdr:cNvSpPr>
          <a:spLocks/>
        </xdr:cNvSpPr>
      </xdr:nvSpPr>
      <xdr:spPr>
        <a:xfrm flipH="1">
          <a:off x="21126450" y="7667625"/>
          <a:ext cx="3905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41</xdr:row>
      <xdr:rowOff>9525</xdr:rowOff>
    </xdr:from>
    <xdr:to>
      <xdr:col>25</xdr:col>
      <xdr:colOff>428625</xdr:colOff>
      <xdr:row>42</xdr:row>
      <xdr:rowOff>9525</xdr:rowOff>
    </xdr:to>
    <xdr:sp>
      <xdr:nvSpPr>
        <xdr:cNvPr id="22" name="Rectangle 23"/>
        <xdr:cNvSpPr>
          <a:spLocks/>
        </xdr:cNvSpPr>
      </xdr:nvSpPr>
      <xdr:spPr>
        <a:xfrm flipH="1">
          <a:off x="21155025" y="8486775"/>
          <a:ext cx="4191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</xdr:row>
      <xdr:rowOff>47625</xdr:rowOff>
    </xdr:from>
    <xdr:to>
      <xdr:col>27</xdr:col>
      <xdr:colOff>85725</xdr:colOff>
      <xdr:row>43</xdr:row>
      <xdr:rowOff>142875</xdr:rowOff>
    </xdr:to>
    <xdr:graphicFrame>
      <xdr:nvGraphicFramePr>
        <xdr:cNvPr id="23" name="Chart 24"/>
        <xdr:cNvGraphicFramePr/>
      </xdr:nvGraphicFramePr>
      <xdr:xfrm>
        <a:off x="6010275" y="581025"/>
        <a:ext cx="16459200" cy="836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0" y="800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56</xdr:row>
      <xdr:rowOff>57150</xdr:rowOff>
    </xdr:from>
    <xdr:to>
      <xdr:col>6</xdr:col>
      <xdr:colOff>523875</xdr:colOff>
      <xdr:row>56</xdr:row>
      <xdr:rowOff>190500</xdr:rowOff>
    </xdr:to>
    <xdr:sp>
      <xdr:nvSpPr>
        <xdr:cNvPr id="2" name="Oval 2"/>
        <xdr:cNvSpPr>
          <a:spLocks noChangeAspect="1"/>
        </xdr:cNvSpPr>
      </xdr:nvSpPr>
      <xdr:spPr>
        <a:xfrm>
          <a:off x="5972175" y="12144375"/>
          <a:ext cx="142875" cy="1428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56</xdr:row>
      <xdr:rowOff>47625</xdr:rowOff>
    </xdr:from>
    <xdr:to>
      <xdr:col>3</xdr:col>
      <xdr:colOff>276225</xdr:colOff>
      <xdr:row>56</xdr:row>
      <xdr:rowOff>200025</xdr:rowOff>
    </xdr:to>
    <xdr:sp>
      <xdr:nvSpPr>
        <xdr:cNvPr id="3" name="AutoShape 3"/>
        <xdr:cNvSpPr>
          <a:spLocks noChangeAspect="1"/>
        </xdr:cNvSpPr>
      </xdr:nvSpPr>
      <xdr:spPr>
        <a:xfrm>
          <a:off x="3314700" y="12134850"/>
          <a:ext cx="209550" cy="161925"/>
        </a:xfrm>
        <a:prstGeom prst="flowChartDecisi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447675</xdr:colOff>
      <xdr:row>2</xdr:row>
      <xdr:rowOff>219075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62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371475</xdr:colOff>
      <xdr:row>7</xdr:row>
      <xdr:rowOff>28575</xdr:rowOff>
    </xdr:from>
    <xdr:to>
      <xdr:col>8</xdr:col>
      <xdr:colOff>9525</xdr:colOff>
      <xdr:row>8</xdr:row>
      <xdr:rowOff>9525</xdr:rowOff>
    </xdr:to>
    <xdr:sp>
      <xdr:nvSpPr>
        <xdr:cNvPr id="5" name="Rectangle 5"/>
        <xdr:cNvSpPr>
          <a:spLocks/>
        </xdr:cNvSpPr>
      </xdr:nvSpPr>
      <xdr:spPr>
        <a:xfrm flipH="1">
          <a:off x="6943725" y="1800225"/>
          <a:ext cx="44767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6" name="Rectangle 6"/>
        <xdr:cNvSpPr>
          <a:spLocks/>
        </xdr:cNvSpPr>
      </xdr:nvSpPr>
      <xdr:spPr>
        <a:xfrm flipH="1">
          <a:off x="22383750" y="880110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7" name="Rectangle 7"/>
        <xdr:cNvSpPr>
          <a:spLocks/>
        </xdr:cNvSpPr>
      </xdr:nvSpPr>
      <xdr:spPr>
        <a:xfrm flipH="1">
          <a:off x="22383750" y="880110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6572250" y="800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9525</xdr:rowOff>
    </xdr:from>
    <xdr:to>
      <xdr:col>25</xdr:col>
      <xdr:colOff>409575</xdr:colOff>
      <xdr:row>8</xdr:row>
      <xdr:rowOff>9525</xdr:rowOff>
    </xdr:to>
    <xdr:sp>
      <xdr:nvSpPr>
        <xdr:cNvPr id="9" name="Rectangle 9"/>
        <xdr:cNvSpPr>
          <a:spLocks/>
        </xdr:cNvSpPr>
      </xdr:nvSpPr>
      <xdr:spPr>
        <a:xfrm flipH="1">
          <a:off x="21145500" y="1781175"/>
          <a:ext cx="4095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9525</xdr:rowOff>
    </xdr:from>
    <xdr:to>
      <xdr:col>8</xdr:col>
      <xdr:colOff>9525</xdr:colOff>
      <xdr:row>12</xdr:row>
      <xdr:rowOff>9525</xdr:rowOff>
    </xdr:to>
    <xdr:sp>
      <xdr:nvSpPr>
        <xdr:cNvPr id="10" name="Rectangle 10"/>
        <xdr:cNvSpPr>
          <a:spLocks/>
        </xdr:cNvSpPr>
      </xdr:nvSpPr>
      <xdr:spPr>
        <a:xfrm flipH="1">
          <a:off x="7191375" y="2600325"/>
          <a:ext cx="2000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9525</xdr:rowOff>
    </xdr:from>
    <xdr:to>
      <xdr:col>13</xdr:col>
      <xdr:colOff>600075</xdr:colOff>
      <xdr:row>12</xdr:row>
      <xdr:rowOff>9525</xdr:rowOff>
    </xdr:to>
    <xdr:sp>
      <xdr:nvSpPr>
        <xdr:cNvPr id="11" name="Rectangle 11"/>
        <xdr:cNvSpPr>
          <a:spLocks/>
        </xdr:cNvSpPr>
      </xdr:nvSpPr>
      <xdr:spPr>
        <a:xfrm flipH="1">
          <a:off x="11430000" y="2600325"/>
          <a:ext cx="6000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14</xdr:col>
      <xdr:colOff>219075</xdr:colOff>
      <xdr:row>16</xdr:row>
      <xdr:rowOff>0</xdr:rowOff>
    </xdr:to>
    <xdr:sp>
      <xdr:nvSpPr>
        <xdr:cNvPr id="12" name="Rectangle 12"/>
        <xdr:cNvSpPr>
          <a:spLocks/>
        </xdr:cNvSpPr>
      </xdr:nvSpPr>
      <xdr:spPr>
        <a:xfrm flipH="1">
          <a:off x="12268200" y="3409950"/>
          <a:ext cx="1905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638175</xdr:colOff>
      <xdr:row>15</xdr:row>
      <xdr:rowOff>0</xdr:rowOff>
    </xdr:from>
    <xdr:to>
      <xdr:col>14</xdr:col>
      <xdr:colOff>9525</xdr:colOff>
      <xdr:row>16</xdr:row>
      <xdr:rowOff>0</xdr:rowOff>
    </xdr:to>
    <xdr:sp>
      <xdr:nvSpPr>
        <xdr:cNvPr id="13" name="Rectangle 13"/>
        <xdr:cNvSpPr>
          <a:spLocks/>
        </xdr:cNvSpPr>
      </xdr:nvSpPr>
      <xdr:spPr>
        <a:xfrm flipH="1">
          <a:off x="12068175" y="3409950"/>
          <a:ext cx="1809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18</xdr:row>
      <xdr:rowOff>0</xdr:rowOff>
    </xdr:from>
    <xdr:to>
      <xdr:col>15</xdr:col>
      <xdr:colOff>9525</xdr:colOff>
      <xdr:row>19</xdr:row>
      <xdr:rowOff>0</xdr:rowOff>
    </xdr:to>
    <xdr:sp>
      <xdr:nvSpPr>
        <xdr:cNvPr id="14" name="Rectangle 14"/>
        <xdr:cNvSpPr>
          <a:spLocks/>
        </xdr:cNvSpPr>
      </xdr:nvSpPr>
      <xdr:spPr>
        <a:xfrm flipH="1">
          <a:off x="12468225" y="3981450"/>
          <a:ext cx="5905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9525</xdr:rowOff>
    </xdr:from>
    <xdr:to>
      <xdr:col>17</xdr:col>
      <xdr:colOff>228600</xdr:colOff>
      <xdr:row>22</xdr:row>
      <xdr:rowOff>9525</xdr:rowOff>
    </xdr:to>
    <xdr:sp>
      <xdr:nvSpPr>
        <xdr:cNvPr id="15" name="Rectangle 22"/>
        <xdr:cNvSpPr>
          <a:spLocks/>
        </xdr:cNvSpPr>
      </xdr:nvSpPr>
      <xdr:spPr>
        <a:xfrm flipH="1">
          <a:off x="14668500" y="4562475"/>
          <a:ext cx="2286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24</xdr:row>
      <xdr:rowOff>0</xdr:rowOff>
    </xdr:from>
    <xdr:to>
      <xdr:col>18</xdr:col>
      <xdr:colOff>9525</xdr:colOff>
      <xdr:row>25</xdr:row>
      <xdr:rowOff>0</xdr:rowOff>
    </xdr:to>
    <xdr:sp>
      <xdr:nvSpPr>
        <xdr:cNvPr id="16" name="Rectangle 23"/>
        <xdr:cNvSpPr>
          <a:spLocks/>
        </xdr:cNvSpPr>
      </xdr:nvSpPr>
      <xdr:spPr>
        <a:xfrm flipH="1">
          <a:off x="14897100" y="5124450"/>
          <a:ext cx="5905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24</xdr:row>
      <xdr:rowOff>0</xdr:rowOff>
    </xdr:from>
    <xdr:to>
      <xdr:col>18</xdr:col>
      <xdr:colOff>609600</xdr:colOff>
      <xdr:row>25</xdr:row>
      <xdr:rowOff>0</xdr:rowOff>
    </xdr:to>
    <xdr:sp>
      <xdr:nvSpPr>
        <xdr:cNvPr id="17" name="Rectangle 24"/>
        <xdr:cNvSpPr>
          <a:spLocks/>
        </xdr:cNvSpPr>
      </xdr:nvSpPr>
      <xdr:spPr>
        <a:xfrm flipH="1">
          <a:off x="15487650" y="5124450"/>
          <a:ext cx="6000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638175</xdr:colOff>
      <xdr:row>27</xdr:row>
      <xdr:rowOff>28575</xdr:rowOff>
    </xdr:from>
    <xdr:to>
      <xdr:col>19</xdr:col>
      <xdr:colOff>9525</xdr:colOff>
      <xdr:row>28</xdr:row>
      <xdr:rowOff>28575</xdr:rowOff>
    </xdr:to>
    <xdr:sp>
      <xdr:nvSpPr>
        <xdr:cNvPr id="18" name="Rectangle 25"/>
        <xdr:cNvSpPr>
          <a:spLocks/>
        </xdr:cNvSpPr>
      </xdr:nvSpPr>
      <xdr:spPr>
        <a:xfrm flipH="1">
          <a:off x="16116300" y="5724525"/>
          <a:ext cx="1809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609600</xdr:colOff>
      <xdr:row>28</xdr:row>
      <xdr:rowOff>9525</xdr:rowOff>
    </xdr:to>
    <xdr:sp>
      <xdr:nvSpPr>
        <xdr:cNvPr id="19" name="Rectangle 28"/>
        <xdr:cNvSpPr>
          <a:spLocks/>
        </xdr:cNvSpPr>
      </xdr:nvSpPr>
      <xdr:spPr>
        <a:xfrm flipH="1">
          <a:off x="17106900" y="5705475"/>
          <a:ext cx="6000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9525</xdr:rowOff>
    </xdr:from>
    <xdr:to>
      <xdr:col>25</xdr:col>
      <xdr:colOff>381000</xdr:colOff>
      <xdr:row>35</xdr:row>
      <xdr:rowOff>9525</xdr:rowOff>
    </xdr:to>
    <xdr:sp>
      <xdr:nvSpPr>
        <xdr:cNvPr id="20" name="Rectangle 39"/>
        <xdr:cNvSpPr>
          <a:spLocks/>
        </xdr:cNvSpPr>
      </xdr:nvSpPr>
      <xdr:spPr>
        <a:xfrm flipH="1">
          <a:off x="21145500" y="7096125"/>
          <a:ext cx="3810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37</xdr:row>
      <xdr:rowOff>9525</xdr:rowOff>
    </xdr:from>
    <xdr:to>
      <xdr:col>17</xdr:col>
      <xdr:colOff>0</xdr:colOff>
      <xdr:row>38</xdr:row>
      <xdr:rowOff>9525</xdr:rowOff>
    </xdr:to>
    <xdr:sp>
      <xdr:nvSpPr>
        <xdr:cNvPr id="21" name="Rectangle 40"/>
        <xdr:cNvSpPr>
          <a:spLocks/>
        </xdr:cNvSpPr>
      </xdr:nvSpPr>
      <xdr:spPr>
        <a:xfrm flipH="1">
          <a:off x="14239875" y="7667625"/>
          <a:ext cx="4286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790575</xdr:colOff>
      <xdr:row>37</xdr:row>
      <xdr:rowOff>9525</xdr:rowOff>
    </xdr:from>
    <xdr:to>
      <xdr:col>25</xdr:col>
      <xdr:colOff>371475</xdr:colOff>
      <xdr:row>38</xdr:row>
      <xdr:rowOff>9525</xdr:rowOff>
    </xdr:to>
    <xdr:sp>
      <xdr:nvSpPr>
        <xdr:cNvPr id="22" name="Rectangle 41"/>
        <xdr:cNvSpPr>
          <a:spLocks/>
        </xdr:cNvSpPr>
      </xdr:nvSpPr>
      <xdr:spPr>
        <a:xfrm flipH="1">
          <a:off x="21126450" y="7667625"/>
          <a:ext cx="3905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41</xdr:row>
      <xdr:rowOff>9525</xdr:rowOff>
    </xdr:from>
    <xdr:to>
      <xdr:col>25</xdr:col>
      <xdr:colOff>428625</xdr:colOff>
      <xdr:row>42</xdr:row>
      <xdr:rowOff>9525</xdr:rowOff>
    </xdr:to>
    <xdr:sp>
      <xdr:nvSpPr>
        <xdr:cNvPr id="23" name="Rectangle 42"/>
        <xdr:cNvSpPr>
          <a:spLocks/>
        </xdr:cNvSpPr>
      </xdr:nvSpPr>
      <xdr:spPr>
        <a:xfrm flipH="1">
          <a:off x="21155025" y="8486775"/>
          <a:ext cx="4191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</xdr:row>
      <xdr:rowOff>47625</xdr:rowOff>
    </xdr:from>
    <xdr:to>
      <xdr:col>27</xdr:col>
      <xdr:colOff>85725</xdr:colOff>
      <xdr:row>43</xdr:row>
      <xdr:rowOff>142875</xdr:rowOff>
    </xdr:to>
    <xdr:graphicFrame>
      <xdr:nvGraphicFramePr>
        <xdr:cNvPr id="24" name="Chart 47"/>
        <xdr:cNvGraphicFramePr/>
      </xdr:nvGraphicFramePr>
      <xdr:xfrm>
        <a:off x="6010275" y="581025"/>
        <a:ext cx="16459200" cy="836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1" name="Line 26"/>
        <xdr:cNvSpPr>
          <a:spLocks/>
        </xdr:cNvSpPr>
      </xdr:nvSpPr>
      <xdr:spPr>
        <a:xfrm>
          <a:off x="6572250" y="800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56</xdr:row>
      <xdr:rowOff>57150</xdr:rowOff>
    </xdr:from>
    <xdr:to>
      <xdr:col>6</xdr:col>
      <xdr:colOff>523875</xdr:colOff>
      <xdr:row>56</xdr:row>
      <xdr:rowOff>190500</xdr:rowOff>
    </xdr:to>
    <xdr:sp>
      <xdr:nvSpPr>
        <xdr:cNvPr id="2" name="Oval 27"/>
        <xdr:cNvSpPr>
          <a:spLocks noChangeAspect="1"/>
        </xdr:cNvSpPr>
      </xdr:nvSpPr>
      <xdr:spPr>
        <a:xfrm>
          <a:off x="5972175" y="12144375"/>
          <a:ext cx="142875" cy="1428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56</xdr:row>
      <xdr:rowOff>47625</xdr:rowOff>
    </xdr:from>
    <xdr:to>
      <xdr:col>3</xdr:col>
      <xdr:colOff>276225</xdr:colOff>
      <xdr:row>56</xdr:row>
      <xdr:rowOff>200025</xdr:rowOff>
    </xdr:to>
    <xdr:sp>
      <xdr:nvSpPr>
        <xdr:cNvPr id="3" name="AutoShape 28"/>
        <xdr:cNvSpPr>
          <a:spLocks noChangeAspect="1"/>
        </xdr:cNvSpPr>
      </xdr:nvSpPr>
      <xdr:spPr>
        <a:xfrm>
          <a:off x="3314700" y="12134850"/>
          <a:ext cx="209550" cy="161925"/>
        </a:xfrm>
        <a:prstGeom prst="flowChartDecisi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447675</xdr:colOff>
      <xdr:row>2</xdr:row>
      <xdr:rowOff>219075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62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371475</xdr:colOff>
      <xdr:row>7</xdr:row>
      <xdr:rowOff>0</xdr:rowOff>
    </xdr:from>
    <xdr:to>
      <xdr:col>8</xdr:col>
      <xdr:colOff>0</xdr:colOff>
      <xdr:row>8</xdr:row>
      <xdr:rowOff>0</xdr:rowOff>
    </xdr:to>
    <xdr:sp>
      <xdr:nvSpPr>
        <xdr:cNvPr id="5" name="Rectangle 30"/>
        <xdr:cNvSpPr>
          <a:spLocks/>
        </xdr:cNvSpPr>
      </xdr:nvSpPr>
      <xdr:spPr>
        <a:xfrm flipH="1">
          <a:off x="6943725" y="1771650"/>
          <a:ext cx="4381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6" name="Rectangle 35"/>
        <xdr:cNvSpPr>
          <a:spLocks/>
        </xdr:cNvSpPr>
      </xdr:nvSpPr>
      <xdr:spPr>
        <a:xfrm flipH="1">
          <a:off x="22383750" y="880110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7" name="Rectangle 36"/>
        <xdr:cNvSpPr>
          <a:spLocks/>
        </xdr:cNvSpPr>
      </xdr:nvSpPr>
      <xdr:spPr>
        <a:xfrm flipH="1">
          <a:off x="22383750" y="880110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8" name="Line 234"/>
        <xdr:cNvSpPr>
          <a:spLocks/>
        </xdr:cNvSpPr>
      </xdr:nvSpPr>
      <xdr:spPr>
        <a:xfrm>
          <a:off x="6572250" y="800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409575</xdr:colOff>
      <xdr:row>8</xdr:row>
      <xdr:rowOff>0</xdr:rowOff>
    </xdr:to>
    <xdr:sp>
      <xdr:nvSpPr>
        <xdr:cNvPr id="9" name="Rectangle 788"/>
        <xdr:cNvSpPr>
          <a:spLocks/>
        </xdr:cNvSpPr>
      </xdr:nvSpPr>
      <xdr:spPr>
        <a:xfrm flipH="1">
          <a:off x="21145500" y="1771650"/>
          <a:ext cx="4095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10" name="Line 790"/>
        <xdr:cNvSpPr>
          <a:spLocks/>
        </xdr:cNvSpPr>
      </xdr:nvSpPr>
      <xdr:spPr>
        <a:xfrm>
          <a:off x="6572250" y="800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56</xdr:row>
      <xdr:rowOff>57150</xdr:rowOff>
    </xdr:from>
    <xdr:to>
      <xdr:col>6</xdr:col>
      <xdr:colOff>523875</xdr:colOff>
      <xdr:row>56</xdr:row>
      <xdr:rowOff>190500</xdr:rowOff>
    </xdr:to>
    <xdr:sp>
      <xdr:nvSpPr>
        <xdr:cNvPr id="11" name="Oval 791"/>
        <xdr:cNvSpPr>
          <a:spLocks noChangeAspect="1"/>
        </xdr:cNvSpPr>
      </xdr:nvSpPr>
      <xdr:spPr>
        <a:xfrm>
          <a:off x="5972175" y="12144375"/>
          <a:ext cx="142875" cy="1428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56</xdr:row>
      <xdr:rowOff>47625</xdr:rowOff>
    </xdr:from>
    <xdr:to>
      <xdr:col>3</xdr:col>
      <xdr:colOff>276225</xdr:colOff>
      <xdr:row>56</xdr:row>
      <xdr:rowOff>200025</xdr:rowOff>
    </xdr:to>
    <xdr:sp>
      <xdr:nvSpPr>
        <xdr:cNvPr id="12" name="AutoShape 792"/>
        <xdr:cNvSpPr>
          <a:spLocks noChangeAspect="1"/>
        </xdr:cNvSpPr>
      </xdr:nvSpPr>
      <xdr:spPr>
        <a:xfrm>
          <a:off x="3314700" y="12134850"/>
          <a:ext cx="209550" cy="161925"/>
        </a:xfrm>
        <a:prstGeom prst="flowChartDecision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0</xdr:rowOff>
    </xdr:from>
    <xdr:to>
      <xdr:col>1</xdr:col>
      <xdr:colOff>447675</xdr:colOff>
      <xdr:row>2</xdr:row>
      <xdr:rowOff>219075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62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371475</xdr:colOff>
      <xdr:row>7</xdr:row>
      <xdr:rowOff>28575</xdr:rowOff>
    </xdr:from>
    <xdr:to>
      <xdr:col>8</xdr:col>
      <xdr:colOff>9525</xdr:colOff>
      <xdr:row>8</xdr:row>
      <xdr:rowOff>9525</xdr:rowOff>
    </xdr:to>
    <xdr:sp>
      <xdr:nvSpPr>
        <xdr:cNvPr id="14" name="Rectangle 794"/>
        <xdr:cNvSpPr>
          <a:spLocks/>
        </xdr:cNvSpPr>
      </xdr:nvSpPr>
      <xdr:spPr>
        <a:xfrm flipH="1">
          <a:off x="6943725" y="1800225"/>
          <a:ext cx="447675" cy="57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15" name="Rectangle 795"/>
        <xdr:cNvSpPr>
          <a:spLocks/>
        </xdr:cNvSpPr>
      </xdr:nvSpPr>
      <xdr:spPr>
        <a:xfrm flipH="1">
          <a:off x="22383750" y="880110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16" name="Rectangle 796"/>
        <xdr:cNvSpPr>
          <a:spLocks/>
        </xdr:cNvSpPr>
      </xdr:nvSpPr>
      <xdr:spPr>
        <a:xfrm flipH="1">
          <a:off x="22383750" y="880110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4</xdr:row>
      <xdr:rowOff>0</xdr:rowOff>
    </xdr:to>
    <xdr:sp>
      <xdr:nvSpPr>
        <xdr:cNvPr id="17" name="Line 797"/>
        <xdr:cNvSpPr>
          <a:spLocks/>
        </xdr:cNvSpPr>
      </xdr:nvSpPr>
      <xdr:spPr>
        <a:xfrm>
          <a:off x="6572250" y="800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</xdr:row>
      <xdr:rowOff>9525</xdr:rowOff>
    </xdr:from>
    <xdr:to>
      <xdr:col>25</xdr:col>
      <xdr:colOff>409575</xdr:colOff>
      <xdr:row>8</xdr:row>
      <xdr:rowOff>9525</xdr:rowOff>
    </xdr:to>
    <xdr:sp>
      <xdr:nvSpPr>
        <xdr:cNvPr id="18" name="Rectangle 798"/>
        <xdr:cNvSpPr>
          <a:spLocks/>
        </xdr:cNvSpPr>
      </xdr:nvSpPr>
      <xdr:spPr>
        <a:xfrm flipH="1">
          <a:off x="21145500" y="1781175"/>
          <a:ext cx="4095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11</xdr:row>
      <xdr:rowOff>9525</xdr:rowOff>
    </xdr:from>
    <xdr:to>
      <xdr:col>8</xdr:col>
      <xdr:colOff>9525</xdr:colOff>
      <xdr:row>12</xdr:row>
      <xdr:rowOff>9525</xdr:rowOff>
    </xdr:to>
    <xdr:sp>
      <xdr:nvSpPr>
        <xdr:cNvPr id="19" name="Rectangle 799"/>
        <xdr:cNvSpPr>
          <a:spLocks/>
        </xdr:cNvSpPr>
      </xdr:nvSpPr>
      <xdr:spPr>
        <a:xfrm flipH="1">
          <a:off x="7191375" y="2600325"/>
          <a:ext cx="2000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9525</xdr:rowOff>
    </xdr:from>
    <xdr:to>
      <xdr:col>13</xdr:col>
      <xdr:colOff>600075</xdr:colOff>
      <xdr:row>12</xdr:row>
      <xdr:rowOff>9525</xdr:rowOff>
    </xdr:to>
    <xdr:sp>
      <xdr:nvSpPr>
        <xdr:cNvPr id="20" name="Rectangle 800"/>
        <xdr:cNvSpPr>
          <a:spLocks/>
        </xdr:cNvSpPr>
      </xdr:nvSpPr>
      <xdr:spPr>
        <a:xfrm flipH="1">
          <a:off x="11430000" y="2600325"/>
          <a:ext cx="6000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14</xdr:col>
      <xdr:colOff>219075</xdr:colOff>
      <xdr:row>16</xdr:row>
      <xdr:rowOff>0</xdr:rowOff>
    </xdr:to>
    <xdr:sp>
      <xdr:nvSpPr>
        <xdr:cNvPr id="21" name="Rectangle 801"/>
        <xdr:cNvSpPr>
          <a:spLocks/>
        </xdr:cNvSpPr>
      </xdr:nvSpPr>
      <xdr:spPr>
        <a:xfrm flipH="1">
          <a:off x="12268200" y="3409950"/>
          <a:ext cx="1905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638175</xdr:colOff>
      <xdr:row>15</xdr:row>
      <xdr:rowOff>0</xdr:rowOff>
    </xdr:from>
    <xdr:to>
      <xdr:col>14</xdr:col>
      <xdr:colOff>9525</xdr:colOff>
      <xdr:row>16</xdr:row>
      <xdr:rowOff>0</xdr:rowOff>
    </xdr:to>
    <xdr:sp>
      <xdr:nvSpPr>
        <xdr:cNvPr id="22" name="Rectangle 802"/>
        <xdr:cNvSpPr>
          <a:spLocks/>
        </xdr:cNvSpPr>
      </xdr:nvSpPr>
      <xdr:spPr>
        <a:xfrm flipH="1">
          <a:off x="12068175" y="3409950"/>
          <a:ext cx="1809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18</xdr:row>
      <xdr:rowOff>0</xdr:rowOff>
    </xdr:from>
    <xdr:to>
      <xdr:col>15</xdr:col>
      <xdr:colOff>9525</xdr:colOff>
      <xdr:row>19</xdr:row>
      <xdr:rowOff>0</xdr:rowOff>
    </xdr:to>
    <xdr:sp>
      <xdr:nvSpPr>
        <xdr:cNvPr id="23" name="Rectangle 803"/>
        <xdr:cNvSpPr>
          <a:spLocks/>
        </xdr:cNvSpPr>
      </xdr:nvSpPr>
      <xdr:spPr>
        <a:xfrm flipH="1">
          <a:off x="12468225" y="3981450"/>
          <a:ext cx="5905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9525</xdr:rowOff>
    </xdr:from>
    <xdr:to>
      <xdr:col>17</xdr:col>
      <xdr:colOff>228600</xdr:colOff>
      <xdr:row>22</xdr:row>
      <xdr:rowOff>9525</xdr:rowOff>
    </xdr:to>
    <xdr:sp>
      <xdr:nvSpPr>
        <xdr:cNvPr id="24" name="Rectangle 804"/>
        <xdr:cNvSpPr>
          <a:spLocks/>
        </xdr:cNvSpPr>
      </xdr:nvSpPr>
      <xdr:spPr>
        <a:xfrm flipH="1">
          <a:off x="14668500" y="4562475"/>
          <a:ext cx="2286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24</xdr:row>
      <xdr:rowOff>0</xdr:rowOff>
    </xdr:from>
    <xdr:to>
      <xdr:col>18</xdr:col>
      <xdr:colOff>9525</xdr:colOff>
      <xdr:row>25</xdr:row>
      <xdr:rowOff>0</xdr:rowOff>
    </xdr:to>
    <xdr:sp>
      <xdr:nvSpPr>
        <xdr:cNvPr id="25" name="Rectangle 805"/>
        <xdr:cNvSpPr>
          <a:spLocks/>
        </xdr:cNvSpPr>
      </xdr:nvSpPr>
      <xdr:spPr>
        <a:xfrm flipH="1">
          <a:off x="14897100" y="5124450"/>
          <a:ext cx="59055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24</xdr:row>
      <xdr:rowOff>0</xdr:rowOff>
    </xdr:from>
    <xdr:to>
      <xdr:col>18</xdr:col>
      <xdr:colOff>609600</xdr:colOff>
      <xdr:row>25</xdr:row>
      <xdr:rowOff>0</xdr:rowOff>
    </xdr:to>
    <xdr:sp>
      <xdr:nvSpPr>
        <xdr:cNvPr id="26" name="Rectangle 806"/>
        <xdr:cNvSpPr>
          <a:spLocks/>
        </xdr:cNvSpPr>
      </xdr:nvSpPr>
      <xdr:spPr>
        <a:xfrm flipH="1">
          <a:off x="15487650" y="5124450"/>
          <a:ext cx="6000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638175</xdr:colOff>
      <xdr:row>27</xdr:row>
      <xdr:rowOff>28575</xdr:rowOff>
    </xdr:from>
    <xdr:to>
      <xdr:col>19</xdr:col>
      <xdr:colOff>9525</xdr:colOff>
      <xdr:row>28</xdr:row>
      <xdr:rowOff>28575</xdr:rowOff>
    </xdr:to>
    <xdr:sp>
      <xdr:nvSpPr>
        <xdr:cNvPr id="27" name="Rectangle 807"/>
        <xdr:cNvSpPr>
          <a:spLocks/>
        </xdr:cNvSpPr>
      </xdr:nvSpPr>
      <xdr:spPr>
        <a:xfrm flipH="1">
          <a:off x="16116300" y="5724525"/>
          <a:ext cx="1809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609600</xdr:colOff>
      <xdr:row>28</xdr:row>
      <xdr:rowOff>9525</xdr:rowOff>
    </xdr:to>
    <xdr:sp>
      <xdr:nvSpPr>
        <xdr:cNvPr id="28" name="Rectangle 808"/>
        <xdr:cNvSpPr>
          <a:spLocks/>
        </xdr:cNvSpPr>
      </xdr:nvSpPr>
      <xdr:spPr>
        <a:xfrm flipH="1">
          <a:off x="17106900" y="5705475"/>
          <a:ext cx="60007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9525</xdr:rowOff>
    </xdr:from>
    <xdr:to>
      <xdr:col>25</xdr:col>
      <xdr:colOff>381000</xdr:colOff>
      <xdr:row>35</xdr:row>
      <xdr:rowOff>9525</xdr:rowOff>
    </xdr:to>
    <xdr:sp>
      <xdr:nvSpPr>
        <xdr:cNvPr id="29" name="Rectangle 809"/>
        <xdr:cNvSpPr>
          <a:spLocks/>
        </xdr:cNvSpPr>
      </xdr:nvSpPr>
      <xdr:spPr>
        <a:xfrm flipH="1">
          <a:off x="21145500" y="7096125"/>
          <a:ext cx="3810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37</xdr:row>
      <xdr:rowOff>9525</xdr:rowOff>
    </xdr:from>
    <xdr:to>
      <xdr:col>17</xdr:col>
      <xdr:colOff>0</xdr:colOff>
      <xdr:row>38</xdr:row>
      <xdr:rowOff>9525</xdr:rowOff>
    </xdr:to>
    <xdr:sp>
      <xdr:nvSpPr>
        <xdr:cNvPr id="30" name="Rectangle 810"/>
        <xdr:cNvSpPr>
          <a:spLocks/>
        </xdr:cNvSpPr>
      </xdr:nvSpPr>
      <xdr:spPr>
        <a:xfrm flipH="1">
          <a:off x="14239875" y="7667625"/>
          <a:ext cx="4286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790575</xdr:colOff>
      <xdr:row>37</xdr:row>
      <xdr:rowOff>9525</xdr:rowOff>
    </xdr:from>
    <xdr:to>
      <xdr:col>25</xdr:col>
      <xdr:colOff>371475</xdr:colOff>
      <xdr:row>38</xdr:row>
      <xdr:rowOff>9525</xdr:rowOff>
    </xdr:to>
    <xdr:sp>
      <xdr:nvSpPr>
        <xdr:cNvPr id="31" name="Rectangle 811"/>
        <xdr:cNvSpPr>
          <a:spLocks/>
        </xdr:cNvSpPr>
      </xdr:nvSpPr>
      <xdr:spPr>
        <a:xfrm flipH="1">
          <a:off x="21126450" y="7667625"/>
          <a:ext cx="390525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41</xdr:row>
      <xdr:rowOff>9525</xdr:rowOff>
    </xdr:from>
    <xdr:to>
      <xdr:col>25</xdr:col>
      <xdr:colOff>428625</xdr:colOff>
      <xdr:row>42</xdr:row>
      <xdr:rowOff>9525</xdr:rowOff>
    </xdr:to>
    <xdr:sp>
      <xdr:nvSpPr>
        <xdr:cNvPr id="32" name="Rectangle 812"/>
        <xdr:cNvSpPr>
          <a:spLocks/>
        </xdr:cNvSpPr>
      </xdr:nvSpPr>
      <xdr:spPr>
        <a:xfrm flipH="1">
          <a:off x="21155025" y="8486775"/>
          <a:ext cx="4191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2</xdr:row>
      <xdr:rowOff>47625</xdr:rowOff>
    </xdr:from>
    <xdr:to>
      <xdr:col>27</xdr:col>
      <xdr:colOff>114300</xdr:colOff>
      <xdr:row>43</xdr:row>
      <xdr:rowOff>152400</xdr:rowOff>
    </xdr:to>
    <xdr:graphicFrame>
      <xdr:nvGraphicFramePr>
        <xdr:cNvPr id="33" name="Chart 813"/>
        <xdr:cNvGraphicFramePr/>
      </xdr:nvGraphicFramePr>
      <xdr:xfrm>
        <a:off x="6048375" y="581025"/>
        <a:ext cx="16449675" cy="837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5"/>
  <sheetViews>
    <sheetView tabSelected="1" zoomScale="70" zoomScaleNormal="70" zoomScalePageLayoutView="0" workbookViewId="0" topLeftCell="A1">
      <selection activeCell="F9" sqref="F9"/>
    </sheetView>
  </sheetViews>
  <sheetFormatPr defaultColWidth="9.140625" defaultRowHeight="12.75"/>
  <cols>
    <col min="1" max="1" width="5.7109375" style="1" customWidth="1"/>
    <col min="2" max="2" width="36.421875" style="1" customWidth="1"/>
    <col min="3" max="4" width="6.57421875" style="1" customWidth="1"/>
    <col min="5" max="5" width="18.8515625" style="1" customWidth="1"/>
    <col min="6" max="6" width="9.7109375" style="1" customWidth="1"/>
    <col min="7" max="7" width="14.7109375" style="1" customWidth="1"/>
    <col min="8" max="26" width="12.140625" style="1" customWidth="1"/>
    <col min="27" max="27" width="6.421875" style="120" customWidth="1"/>
    <col min="28" max="28" width="12.7109375" style="1" customWidth="1"/>
    <col min="29" max="29" width="18.28125" style="1" customWidth="1"/>
    <col min="30" max="16384" width="9.140625" style="1" customWidth="1"/>
  </cols>
  <sheetData>
    <row r="1" spans="2:27" s="3" customFormat="1" ht="21" customHeight="1">
      <c r="B1" s="70"/>
      <c r="E1" s="67"/>
      <c r="F1" s="36"/>
      <c r="I1" s="60"/>
      <c r="J1" s="17"/>
      <c r="N1" s="92" t="s">
        <v>64</v>
      </c>
      <c r="O1" s="92"/>
      <c r="X1" s="38"/>
      <c r="Y1" s="87"/>
      <c r="Z1" s="91"/>
      <c r="AA1" s="120"/>
    </row>
    <row r="2" spans="2:27" s="3" customFormat="1" ht="21" customHeight="1">
      <c r="B2" s="70"/>
      <c r="E2" s="67"/>
      <c r="F2" s="36"/>
      <c r="I2" s="60"/>
      <c r="J2" s="17"/>
      <c r="O2" s="92"/>
      <c r="X2" s="38"/>
      <c r="Y2" s="87"/>
      <c r="Z2" s="91"/>
      <c r="AA2" s="120"/>
    </row>
    <row r="3" spans="2:27" s="3" customFormat="1" ht="21" customHeight="1" thickBot="1">
      <c r="B3" s="69" t="s">
        <v>3</v>
      </c>
      <c r="E3" s="68">
        <v>168000000</v>
      </c>
      <c r="F3" s="17" t="s">
        <v>4</v>
      </c>
      <c r="G3" s="37" t="s">
        <v>22</v>
      </c>
      <c r="I3" s="3" t="s">
        <v>52</v>
      </c>
      <c r="K3" s="67">
        <v>39278</v>
      </c>
      <c r="L3" s="17"/>
      <c r="M3" s="3" t="s">
        <v>2</v>
      </c>
      <c r="O3" s="67">
        <v>39827</v>
      </c>
      <c r="Q3" s="3" t="s">
        <v>0</v>
      </c>
      <c r="S3" s="60">
        <f>+O3-K3+1</f>
        <v>550</v>
      </c>
      <c r="T3" s="17" t="s">
        <v>1</v>
      </c>
      <c r="V3" s="87"/>
      <c r="W3" s="87" t="s">
        <v>53</v>
      </c>
      <c r="X3" s="88">
        <v>0</v>
      </c>
      <c r="Y3" s="89" t="s">
        <v>54</v>
      </c>
      <c r="Z3" s="90">
        <f ca="1">NOW()</f>
        <v>40004.72575914352</v>
      </c>
      <c r="AA3" s="120"/>
    </row>
    <row r="4" spans="1:27" s="3" customFormat="1" ht="18.75" customHeight="1" thickBot="1">
      <c r="A4" s="122" t="s">
        <v>5</v>
      </c>
      <c r="B4" s="123" t="s">
        <v>6</v>
      </c>
      <c r="C4" s="124" t="s">
        <v>7</v>
      </c>
      <c r="D4" s="124" t="s">
        <v>8</v>
      </c>
      <c r="E4" s="123" t="s">
        <v>9</v>
      </c>
      <c r="F4" s="123" t="s">
        <v>10</v>
      </c>
      <c r="G4" s="125" t="s">
        <v>15</v>
      </c>
      <c r="H4" s="64">
        <v>39293</v>
      </c>
      <c r="I4" s="65">
        <v>39324</v>
      </c>
      <c r="J4" s="65">
        <v>39355</v>
      </c>
      <c r="K4" s="65">
        <v>39385</v>
      </c>
      <c r="L4" s="65">
        <v>39416</v>
      </c>
      <c r="M4" s="66">
        <v>39446</v>
      </c>
      <c r="N4" s="64">
        <v>39477</v>
      </c>
      <c r="O4" s="65">
        <v>39506</v>
      </c>
      <c r="P4" s="65">
        <v>39537</v>
      </c>
      <c r="Q4" s="65">
        <v>39568</v>
      </c>
      <c r="R4" s="65">
        <v>39598</v>
      </c>
      <c r="S4" s="65">
        <v>39629</v>
      </c>
      <c r="T4" s="65">
        <v>39659</v>
      </c>
      <c r="U4" s="65">
        <v>39690</v>
      </c>
      <c r="V4" s="65">
        <v>39721</v>
      </c>
      <c r="W4" s="65">
        <v>39751</v>
      </c>
      <c r="X4" s="65">
        <v>39782</v>
      </c>
      <c r="Y4" s="66">
        <v>39812</v>
      </c>
      <c r="Z4" s="64">
        <v>39843</v>
      </c>
      <c r="AA4" s="120"/>
    </row>
    <row r="5" spans="1:30" s="3" customFormat="1" ht="18.75" customHeight="1" thickBot="1">
      <c r="A5" s="126" t="s">
        <v>12</v>
      </c>
      <c r="B5" s="127"/>
      <c r="C5" s="127"/>
      <c r="D5" s="127"/>
      <c r="E5" s="128" t="s">
        <v>13</v>
      </c>
      <c r="F5" s="127"/>
      <c r="G5" s="129"/>
      <c r="H5" s="71" t="s">
        <v>28</v>
      </c>
      <c r="I5" s="72">
        <v>2</v>
      </c>
      <c r="J5" s="72">
        <v>3</v>
      </c>
      <c r="K5" s="72">
        <v>4</v>
      </c>
      <c r="L5" s="72">
        <v>5</v>
      </c>
      <c r="M5" s="73">
        <v>6</v>
      </c>
      <c r="N5" s="74">
        <v>7</v>
      </c>
      <c r="O5" s="72">
        <v>8</v>
      </c>
      <c r="P5" s="72">
        <v>9</v>
      </c>
      <c r="Q5" s="72">
        <v>10</v>
      </c>
      <c r="R5" s="72">
        <v>11</v>
      </c>
      <c r="S5" s="72">
        <v>12</v>
      </c>
      <c r="T5" s="72">
        <v>13</v>
      </c>
      <c r="U5" s="72">
        <v>14</v>
      </c>
      <c r="V5" s="72">
        <v>15</v>
      </c>
      <c r="W5" s="72">
        <v>16</v>
      </c>
      <c r="X5" s="72">
        <v>17</v>
      </c>
      <c r="Y5" s="73">
        <v>18</v>
      </c>
      <c r="Z5" s="74">
        <v>19</v>
      </c>
      <c r="AA5" s="121">
        <v>1</v>
      </c>
      <c r="AC5" s="3">
        <v>27</v>
      </c>
      <c r="AD5" s="1">
        <f>+AC5*3.7</f>
        <v>99.9</v>
      </c>
    </row>
    <row r="6" spans="1:30" ht="19.5" customHeight="1">
      <c r="A6" s="30">
        <v>1</v>
      </c>
      <c r="B6" s="18" t="s">
        <v>29</v>
      </c>
      <c r="C6" s="18"/>
      <c r="D6" s="18"/>
      <c r="E6" s="19"/>
      <c r="F6" s="19"/>
      <c r="G6" s="100"/>
      <c r="H6" s="9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95"/>
      <c r="AC6" s="1">
        <v>26</v>
      </c>
      <c r="AD6" s="1">
        <f>+AC6*3.7</f>
        <v>96.2</v>
      </c>
    </row>
    <row r="7" spans="1:30" ht="19.5" customHeight="1">
      <c r="A7" s="32">
        <v>1.1</v>
      </c>
      <c r="B7" s="14" t="s">
        <v>29</v>
      </c>
      <c r="C7" s="20">
        <v>1</v>
      </c>
      <c r="D7" s="21" t="s">
        <v>14</v>
      </c>
      <c r="E7" s="14">
        <v>21475730</v>
      </c>
      <c r="F7" s="76">
        <f>+E7/E$46</f>
        <v>0.1278317261904762</v>
      </c>
      <c r="G7" s="23" t="s">
        <v>11</v>
      </c>
      <c r="H7" s="61">
        <f aca="true" t="shared" si="0" ref="H7:Z7">+H9/$E7*100</f>
        <v>10.211569059584937</v>
      </c>
      <c r="I7" s="61">
        <f t="shared" si="0"/>
        <v>16.505692705207228</v>
      </c>
      <c r="J7" s="61">
        <f t="shared" si="0"/>
        <v>4.441376381617761</v>
      </c>
      <c r="K7" s="61">
        <f t="shared" si="0"/>
        <v>4.441376381617761</v>
      </c>
      <c r="L7" s="61">
        <f t="shared" si="0"/>
        <v>4.441376381617761</v>
      </c>
      <c r="M7" s="61">
        <f t="shared" si="0"/>
        <v>4.441376381617761</v>
      </c>
      <c r="N7" s="61">
        <f t="shared" si="0"/>
        <v>4.441376381617761</v>
      </c>
      <c r="O7" s="61">
        <f t="shared" si="0"/>
        <v>4.441376381617761</v>
      </c>
      <c r="P7" s="61">
        <f t="shared" si="0"/>
        <v>4.441376381617761</v>
      </c>
      <c r="Q7" s="61">
        <f t="shared" si="0"/>
        <v>4.441376381617761</v>
      </c>
      <c r="R7" s="61">
        <f t="shared" si="0"/>
        <v>4.441376381617761</v>
      </c>
      <c r="S7" s="61">
        <f t="shared" si="0"/>
        <v>4.441376381617761</v>
      </c>
      <c r="T7" s="61">
        <f t="shared" si="0"/>
        <v>4.441376381617761</v>
      </c>
      <c r="U7" s="61">
        <f t="shared" si="0"/>
        <v>4.441376381617761</v>
      </c>
      <c r="V7" s="61">
        <f t="shared" si="0"/>
        <v>4.441376381617761</v>
      </c>
      <c r="W7" s="61">
        <f t="shared" si="0"/>
        <v>4.441376381617761</v>
      </c>
      <c r="X7" s="61">
        <f t="shared" si="0"/>
        <v>4.441376381617761</v>
      </c>
      <c r="Y7" s="61">
        <f t="shared" si="0"/>
        <v>4.441376381617761</v>
      </c>
      <c r="Z7" s="61">
        <f t="shared" si="0"/>
        <v>2.2207161293236597</v>
      </c>
      <c r="AB7" s="13">
        <f>SUM(H7:Z7)</f>
        <v>99.99999999999996</v>
      </c>
      <c r="AC7" s="1">
        <v>25</v>
      </c>
      <c r="AD7" s="1">
        <f>+AC7*3.7</f>
        <v>92.5</v>
      </c>
    </row>
    <row r="8" spans="1:26" ht="6" customHeight="1">
      <c r="A8" s="33"/>
      <c r="B8" s="15"/>
      <c r="C8" s="22"/>
      <c r="D8" s="15"/>
      <c r="E8" s="14" t="s">
        <v>21</v>
      </c>
      <c r="F8" s="19"/>
      <c r="G8" s="23"/>
      <c r="H8" s="9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/>
    </row>
    <row r="9" spans="1:30" ht="19.5" customHeight="1">
      <c r="A9" s="34"/>
      <c r="B9" s="16"/>
      <c r="C9" s="24"/>
      <c r="D9" s="16"/>
      <c r="E9" s="84"/>
      <c r="F9" s="25"/>
      <c r="G9" s="26" t="s">
        <v>60</v>
      </c>
      <c r="H9" s="102">
        <f>2055000*0.5+65000*0.5+157000*0.3+2030000*0.3+953818/2</f>
        <v>2193009</v>
      </c>
      <c r="I9" s="102">
        <f>2055000*0.5+65000*0.5+157000*0.7+2030000*0.7+953818</f>
        <v>3544718</v>
      </c>
      <c r="J9" s="102">
        <v>953818</v>
      </c>
      <c r="K9" s="102">
        <v>953818</v>
      </c>
      <c r="L9" s="102">
        <v>953818</v>
      </c>
      <c r="M9" s="102">
        <v>953818</v>
      </c>
      <c r="N9" s="102">
        <v>953818</v>
      </c>
      <c r="O9" s="102">
        <v>953818</v>
      </c>
      <c r="P9" s="102">
        <v>953818</v>
      </c>
      <c r="Q9" s="102">
        <v>953818</v>
      </c>
      <c r="R9" s="102">
        <v>953818</v>
      </c>
      <c r="S9" s="102">
        <v>953818</v>
      </c>
      <c r="T9" s="102">
        <v>953818</v>
      </c>
      <c r="U9" s="102">
        <v>953818</v>
      </c>
      <c r="V9" s="102">
        <v>953818</v>
      </c>
      <c r="W9" s="102">
        <v>953818</v>
      </c>
      <c r="X9" s="102">
        <v>953818</v>
      </c>
      <c r="Y9" s="102">
        <v>953818</v>
      </c>
      <c r="Z9" s="102">
        <f>476909+6</f>
        <v>476915</v>
      </c>
      <c r="AB9" s="94">
        <f>SUM(H9:Z9)-E7</f>
        <v>0</v>
      </c>
      <c r="AC9" s="1">
        <v>24</v>
      </c>
      <c r="AD9" s="1">
        <f>+AC9*3.7</f>
        <v>88.80000000000001</v>
      </c>
    </row>
    <row r="10" spans="1:30" ht="19.5" customHeight="1">
      <c r="A10" s="30">
        <v>2</v>
      </c>
      <c r="B10" s="18" t="s">
        <v>30</v>
      </c>
      <c r="C10" s="18"/>
      <c r="D10" s="18"/>
      <c r="E10" s="85"/>
      <c r="F10" s="19"/>
      <c r="G10" s="101"/>
      <c r="H10" s="9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C10" s="1">
        <v>23</v>
      </c>
      <c r="AD10" s="1">
        <f>+AC10*3.7</f>
        <v>85.10000000000001</v>
      </c>
    </row>
    <row r="11" spans="1:30" ht="19.5" customHeight="1">
      <c r="A11" s="33">
        <v>2.1</v>
      </c>
      <c r="B11" s="19" t="s">
        <v>31</v>
      </c>
      <c r="C11" s="20">
        <v>1</v>
      </c>
      <c r="D11" s="21" t="s">
        <v>14</v>
      </c>
      <c r="E11" s="14">
        <f>8544501+2361729</f>
        <v>10906230</v>
      </c>
      <c r="F11" s="76">
        <f>+E11/E$46</f>
        <v>0.06491803571428571</v>
      </c>
      <c r="G11" s="23" t="s">
        <v>11</v>
      </c>
      <c r="H11" s="61">
        <f aca="true" t="shared" si="1" ref="H11:N11">+H13/$E11*100</f>
        <v>4.166666666666666</v>
      </c>
      <c r="I11" s="61">
        <f t="shared" si="1"/>
        <v>16.666666666666664</v>
      </c>
      <c r="J11" s="61">
        <f t="shared" si="1"/>
        <v>16.666666666666664</v>
      </c>
      <c r="K11" s="61">
        <f t="shared" si="1"/>
        <v>16.666666666666664</v>
      </c>
      <c r="L11" s="61">
        <f t="shared" si="1"/>
        <v>16.666666666666664</v>
      </c>
      <c r="M11" s="61">
        <f t="shared" si="1"/>
        <v>16.666666666666664</v>
      </c>
      <c r="N11" s="61">
        <f t="shared" si="1"/>
        <v>12.5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20">
        <v>0.8</v>
      </c>
      <c r="AB11" s="13">
        <f>SUM(H11:Z11)</f>
        <v>99.99999999999997</v>
      </c>
      <c r="AC11" s="1">
        <v>22</v>
      </c>
      <c r="AD11" s="1">
        <f>+AC11*3.7</f>
        <v>81.4</v>
      </c>
    </row>
    <row r="12" spans="1:26" ht="6" customHeight="1">
      <c r="A12" s="33"/>
      <c r="B12" s="15"/>
      <c r="C12" s="22"/>
      <c r="D12" s="15"/>
      <c r="E12" s="14"/>
      <c r="F12" s="19"/>
      <c r="G12" s="23"/>
      <c r="H12" s="61"/>
      <c r="I12" s="9"/>
      <c r="J12" s="9"/>
      <c r="K12" s="9"/>
      <c r="L12" s="9"/>
      <c r="M12" s="9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30" ht="19.5" customHeight="1">
      <c r="A13" s="34"/>
      <c r="B13" s="16"/>
      <c r="C13" s="24"/>
      <c r="D13" s="16"/>
      <c r="E13" s="84"/>
      <c r="F13" s="25"/>
      <c r="G13" s="26" t="s">
        <v>60</v>
      </c>
      <c r="H13" s="103">
        <f>1817705*0.25</f>
        <v>454426.25</v>
      </c>
      <c r="I13" s="103">
        <v>1817705</v>
      </c>
      <c r="J13" s="103">
        <v>1817705</v>
      </c>
      <c r="K13" s="103">
        <v>1817705</v>
      </c>
      <c r="L13" s="103">
        <v>1817705</v>
      </c>
      <c r="M13" s="103">
        <v>1817705</v>
      </c>
      <c r="N13" s="103">
        <f>1817705*0.75</f>
        <v>1363278.75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B13" s="94">
        <f>SUM(H13:Z13)-E11</f>
        <v>0</v>
      </c>
      <c r="AC13" s="1">
        <v>21</v>
      </c>
      <c r="AD13" s="1">
        <f>+AC13*3.7</f>
        <v>77.7</v>
      </c>
    </row>
    <row r="14" spans="1:30" ht="19.5" customHeight="1">
      <c r="A14" s="33">
        <v>2.2</v>
      </c>
      <c r="B14" s="15" t="s">
        <v>32</v>
      </c>
      <c r="C14" s="22"/>
      <c r="D14" s="15"/>
      <c r="E14" s="14"/>
      <c r="F14" s="19"/>
      <c r="G14" s="23"/>
      <c r="H14" s="6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1">
        <v>20</v>
      </c>
      <c r="AD14" s="1">
        <f>+AC14*3.7</f>
        <v>74</v>
      </c>
    </row>
    <row r="15" spans="1:30" ht="19.5" customHeight="1">
      <c r="A15" s="75" t="s">
        <v>33</v>
      </c>
      <c r="B15" s="15" t="s">
        <v>34</v>
      </c>
      <c r="C15" s="20">
        <v>1</v>
      </c>
      <c r="D15" s="21" t="s">
        <v>14</v>
      </c>
      <c r="E15" s="14">
        <v>2361729</v>
      </c>
      <c r="F15" s="76">
        <f>+E15/E$46</f>
        <v>0.014057910714285714</v>
      </c>
      <c r="G15" s="23" t="s">
        <v>11</v>
      </c>
      <c r="H15" s="61"/>
      <c r="I15" s="6"/>
      <c r="J15" s="6"/>
      <c r="K15" s="6"/>
      <c r="L15" s="6"/>
      <c r="M15" s="6"/>
      <c r="N15" s="61">
        <f>+N17/$E15*100</f>
        <v>50</v>
      </c>
      <c r="O15" s="61">
        <f>+O17/$E15*100</f>
        <v>50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B15" s="13">
        <f>SUM(H15:Z15)</f>
        <v>100</v>
      </c>
      <c r="AC15" s="1">
        <v>19</v>
      </c>
      <c r="AD15" s="1">
        <f>+AC15*3.7</f>
        <v>70.3</v>
      </c>
    </row>
    <row r="16" spans="1:26" ht="6" customHeight="1">
      <c r="A16" s="33"/>
      <c r="B16" s="15"/>
      <c r="C16" s="22"/>
      <c r="D16" s="15"/>
      <c r="E16" s="14"/>
      <c r="F16" s="19"/>
      <c r="G16" s="23"/>
      <c r="H16" s="61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30" ht="19.5" customHeight="1">
      <c r="A17" s="34"/>
      <c r="B17" s="16"/>
      <c r="C17" s="24"/>
      <c r="D17" s="16"/>
      <c r="E17" s="84"/>
      <c r="F17" s="25"/>
      <c r="G17" s="26" t="s">
        <v>60</v>
      </c>
      <c r="H17" s="35"/>
      <c r="I17" s="10"/>
      <c r="J17" s="10"/>
      <c r="K17" s="10"/>
      <c r="L17" s="10"/>
      <c r="M17" s="10"/>
      <c r="N17" s="102">
        <f>+$E15/2</f>
        <v>1180864.5</v>
      </c>
      <c r="O17" s="102">
        <f>+$E15/2</f>
        <v>1180864.5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B17" s="94">
        <f>SUM(H17:Z17)-E15</f>
        <v>0</v>
      </c>
      <c r="AC17" s="1">
        <v>18</v>
      </c>
      <c r="AD17" s="1">
        <f>+AC17*3.7</f>
        <v>66.60000000000001</v>
      </c>
    </row>
    <row r="18" spans="1:30" ht="19.5" customHeight="1">
      <c r="A18" s="33" t="s">
        <v>38</v>
      </c>
      <c r="B18" s="15" t="s">
        <v>35</v>
      </c>
      <c r="C18" s="20">
        <v>1</v>
      </c>
      <c r="D18" s="21" t="s">
        <v>14</v>
      </c>
      <c r="E18" s="14">
        <f>+E15*2</f>
        <v>4723458</v>
      </c>
      <c r="F18" s="76">
        <f>+E18/E$46</f>
        <v>0.028115821428571428</v>
      </c>
      <c r="G18" s="23" t="s">
        <v>11</v>
      </c>
      <c r="H18" s="61"/>
      <c r="I18" s="6"/>
      <c r="J18" s="6"/>
      <c r="K18" s="6"/>
      <c r="L18" s="6"/>
      <c r="M18" s="6"/>
      <c r="N18" s="6"/>
      <c r="O18" s="61">
        <f>+O20/$E18*100</f>
        <v>100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B18" s="13">
        <f>SUM(H18:Z18)</f>
        <v>100</v>
      </c>
      <c r="AC18" s="1">
        <v>17</v>
      </c>
      <c r="AD18" s="1">
        <f>+AC18*3.7</f>
        <v>62.900000000000006</v>
      </c>
    </row>
    <row r="19" spans="1:26" ht="6" customHeight="1">
      <c r="A19" s="33"/>
      <c r="B19" s="15"/>
      <c r="C19" s="21"/>
      <c r="D19" s="21"/>
      <c r="E19" s="14"/>
      <c r="F19" s="19"/>
      <c r="G19" s="23"/>
      <c r="H19" s="6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30" ht="19.5" customHeight="1">
      <c r="A20" s="34"/>
      <c r="B20" s="16"/>
      <c r="C20" s="27"/>
      <c r="D20" s="27"/>
      <c r="E20" s="84"/>
      <c r="F20" s="25"/>
      <c r="G20" s="26" t="s">
        <v>60</v>
      </c>
      <c r="H20" s="35"/>
      <c r="I20" s="10"/>
      <c r="J20" s="10"/>
      <c r="K20" s="10"/>
      <c r="L20" s="10"/>
      <c r="M20" s="10"/>
      <c r="N20" s="10"/>
      <c r="O20" s="102">
        <f>+$E18</f>
        <v>4723458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0">
        <v>0.6</v>
      </c>
      <c r="AB20" s="94">
        <f>SUM(H20:Z20)-E18</f>
        <v>0</v>
      </c>
      <c r="AC20" s="1">
        <v>16</v>
      </c>
      <c r="AD20" s="1">
        <f>+AC20*3.7</f>
        <v>59.2</v>
      </c>
    </row>
    <row r="21" spans="1:30" ht="19.5" customHeight="1">
      <c r="A21" s="33" t="s">
        <v>39</v>
      </c>
      <c r="B21" s="15" t="s">
        <v>36</v>
      </c>
      <c r="C21" s="20">
        <v>1</v>
      </c>
      <c r="D21" s="21" t="s">
        <v>14</v>
      </c>
      <c r="E21" s="14">
        <f>+E15*6</f>
        <v>14170374</v>
      </c>
      <c r="F21" s="76">
        <f>+E21/E$46</f>
        <v>0.08434746428571428</v>
      </c>
      <c r="G21" s="23" t="s">
        <v>11</v>
      </c>
      <c r="H21" s="61"/>
      <c r="I21" s="6"/>
      <c r="J21" s="6"/>
      <c r="K21" s="6"/>
      <c r="L21" s="6"/>
      <c r="M21" s="6"/>
      <c r="N21" s="6"/>
      <c r="O21" s="61"/>
      <c r="P21" s="61">
        <f>+P23/$E21*100</f>
        <v>40</v>
      </c>
      <c r="Q21" s="61">
        <f>+Q23/$E21*100</f>
        <v>40</v>
      </c>
      <c r="R21" s="61">
        <f>+R23/$E21*100</f>
        <v>20</v>
      </c>
      <c r="S21" s="6"/>
      <c r="T21" s="6"/>
      <c r="U21" s="6"/>
      <c r="V21" s="6"/>
      <c r="W21" s="6"/>
      <c r="X21" s="6"/>
      <c r="Y21" s="6"/>
      <c r="Z21" s="6"/>
      <c r="AB21" s="13">
        <f>SUM(H21:Z21)</f>
        <v>100</v>
      </c>
      <c r="AC21" s="1">
        <v>15</v>
      </c>
      <c r="AD21" s="1">
        <f>+AC21*3.7</f>
        <v>55.5</v>
      </c>
    </row>
    <row r="22" spans="1:26" ht="6" customHeight="1">
      <c r="A22" s="33"/>
      <c r="B22" s="15"/>
      <c r="C22" s="21"/>
      <c r="D22" s="21"/>
      <c r="E22" s="14"/>
      <c r="F22" s="19"/>
      <c r="G22" s="23"/>
      <c r="H22" s="61"/>
      <c r="I22" s="6"/>
      <c r="J22" s="6"/>
      <c r="K22" s="6"/>
      <c r="L22" s="6"/>
      <c r="M22" s="6"/>
      <c r="N22" s="6"/>
      <c r="O22" s="6"/>
      <c r="P22" s="9"/>
      <c r="Q22" s="9"/>
      <c r="R22" s="6"/>
      <c r="S22" s="6"/>
      <c r="T22" s="6"/>
      <c r="U22" s="6"/>
      <c r="V22" s="6"/>
      <c r="W22" s="6"/>
      <c r="X22" s="6"/>
      <c r="Y22" s="6"/>
      <c r="Z22" s="6"/>
    </row>
    <row r="23" spans="1:30" ht="19.5" customHeight="1">
      <c r="A23" s="34"/>
      <c r="B23" s="16"/>
      <c r="C23" s="27"/>
      <c r="D23" s="27"/>
      <c r="E23" s="84"/>
      <c r="F23" s="25"/>
      <c r="G23" s="26" t="s">
        <v>60</v>
      </c>
      <c r="H23" s="35"/>
      <c r="I23" s="10"/>
      <c r="J23" s="10"/>
      <c r="K23" s="10"/>
      <c r="L23" s="10"/>
      <c r="M23" s="10"/>
      <c r="N23" s="10"/>
      <c r="O23" s="102"/>
      <c r="P23" s="102">
        <f>+$E21/2.5*1</f>
        <v>5668149.6</v>
      </c>
      <c r="Q23" s="102">
        <f>+$E21/2.5*1</f>
        <v>5668149.6</v>
      </c>
      <c r="R23" s="102">
        <f>+$E21/2.5*0.5</f>
        <v>2834074.8</v>
      </c>
      <c r="S23" s="10"/>
      <c r="T23" s="10"/>
      <c r="U23" s="10"/>
      <c r="V23" s="10"/>
      <c r="W23" s="10"/>
      <c r="X23" s="10"/>
      <c r="Y23" s="10"/>
      <c r="Z23" s="10"/>
      <c r="AB23" s="94">
        <f>SUM(H23:Z23)-E21</f>
        <v>0</v>
      </c>
      <c r="AC23" s="1">
        <v>14</v>
      </c>
      <c r="AD23" s="1">
        <f>+AC23*3.7</f>
        <v>51.800000000000004</v>
      </c>
    </row>
    <row r="24" spans="1:30" ht="19.5" customHeight="1">
      <c r="A24" s="33" t="s">
        <v>40</v>
      </c>
      <c r="B24" s="15" t="s">
        <v>37</v>
      </c>
      <c r="C24" s="20">
        <v>1</v>
      </c>
      <c r="D24" s="21" t="s">
        <v>14</v>
      </c>
      <c r="E24" s="14">
        <f>+E15*5</f>
        <v>11808645</v>
      </c>
      <c r="F24" s="76">
        <f>+E24/E$46</f>
        <v>0.07028955357142858</v>
      </c>
      <c r="G24" s="23" t="s">
        <v>11</v>
      </c>
      <c r="H24" s="61"/>
      <c r="I24" s="6"/>
      <c r="J24" s="6"/>
      <c r="K24" s="6"/>
      <c r="L24" s="6"/>
      <c r="M24" s="6"/>
      <c r="N24" s="6"/>
      <c r="O24" s="6"/>
      <c r="P24" s="6"/>
      <c r="Q24" s="6"/>
      <c r="R24" s="61">
        <f>+R26/$E24*100</f>
        <v>50</v>
      </c>
      <c r="S24" s="104">
        <f>+S26/$E24*100</f>
        <v>50</v>
      </c>
      <c r="T24" s="6"/>
      <c r="U24" s="6"/>
      <c r="V24" s="6"/>
      <c r="W24" s="6"/>
      <c r="X24" s="6"/>
      <c r="Y24" s="6"/>
      <c r="Z24" s="6"/>
      <c r="AB24" s="13">
        <f>SUM(H24:Z24)</f>
        <v>100</v>
      </c>
      <c r="AC24" s="1">
        <v>13</v>
      </c>
      <c r="AD24" s="1">
        <f>+AC24*3.7</f>
        <v>48.1</v>
      </c>
    </row>
    <row r="25" spans="1:26" ht="6" customHeight="1">
      <c r="A25" s="33"/>
      <c r="B25" s="15"/>
      <c r="C25" s="21"/>
      <c r="D25" s="21"/>
      <c r="E25" s="14"/>
      <c r="F25" s="19"/>
      <c r="G25" s="23"/>
      <c r="H25" s="6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30" ht="19.5" customHeight="1">
      <c r="A26" s="34"/>
      <c r="B26" s="16"/>
      <c r="C26" s="27"/>
      <c r="D26" s="27"/>
      <c r="E26" s="84"/>
      <c r="F26" s="25"/>
      <c r="G26" s="26" t="s">
        <v>60</v>
      </c>
      <c r="H26" s="35"/>
      <c r="I26" s="10"/>
      <c r="J26" s="10"/>
      <c r="K26" s="10"/>
      <c r="L26" s="10"/>
      <c r="M26" s="10"/>
      <c r="N26" s="10"/>
      <c r="O26" s="10"/>
      <c r="P26" s="10"/>
      <c r="Q26" s="10"/>
      <c r="R26" s="102">
        <f>+$E24/2</f>
        <v>5904322.5</v>
      </c>
      <c r="S26" s="102">
        <f>+$E24/2</f>
        <v>5904322.5</v>
      </c>
      <c r="T26" s="10"/>
      <c r="U26" s="10"/>
      <c r="V26" s="10"/>
      <c r="W26" s="10"/>
      <c r="X26" s="10"/>
      <c r="Y26" s="10"/>
      <c r="Z26" s="10"/>
      <c r="AB26" s="94">
        <f>SUM(H26:Z26)-E24</f>
        <v>0</v>
      </c>
      <c r="AC26" s="1">
        <v>12</v>
      </c>
      <c r="AD26" s="1">
        <f>+AC26*3.7</f>
        <v>44.400000000000006</v>
      </c>
    </row>
    <row r="27" spans="1:30" ht="19.5" customHeight="1">
      <c r="A27" s="33" t="s">
        <v>41</v>
      </c>
      <c r="B27" s="15" t="s">
        <v>42</v>
      </c>
      <c r="C27" s="20">
        <v>1</v>
      </c>
      <c r="D27" s="21" t="s">
        <v>14</v>
      </c>
      <c r="E27" s="14">
        <f>+E15*1+1</f>
        <v>2361730</v>
      </c>
      <c r="F27" s="76">
        <f>+E27/E$46</f>
        <v>0.014057916666666666</v>
      </c>
      <c r="G27" s="23" t="s">
        <v>11</v>
      </c>
      <c r="H27" s="61"/>
      <c r="I27" s="6"/>
      <c r="J27" s="6"/>
      <c r="K27" s="6"/>
      <c r="L27" s="6"/>
      <c r="M27" s="6"/>
      <c r="N27" s="6"/>
      <c r="O27" s="6"/>
      <c r="P27" s="6"/>
      <c r="Q27" s="6"/>
      <c r="R27" s="6"/>
      <c r="S27" s="104">
        <f>+S29/$E27*100</f>
        <v>12.5</v>
      </c>
      <c r="T27" s="104">
        <f>+T29/$E27*100</f>
        <v>50</v>
      </c>
      <c r="U27" s="104">
        <f>+U29/$E27*100</f>
        <v>37.5</v>
      </c>
      <c r="V27" s="6"/>
      <c r="W27" s="6"/>
      <c r="X27" s="6"/>
      <c r="Y27" s="6"/>
      <c r="Z27" s="6"/>
      <c r="AA27" s="120">
        <v>0.4</v>
      </c>
      <c r="AB27" s="13">
        <f>SUM(H27:Z27)</f>
        <v>100</v>
      </c>
      <c r="AC27" s="1">
        <v>11</v>
      </c>
      <c r="AD27" s="1">
        <f>+AC27*3.7</f>
        <v>40.7</v>
      </c>
    </row>
    <row r="28" spans="1:26" ht="6" customHeight="1">
      <c r="A28" s="33"/>
      <c r="B28" s="15"/>
      <c r="C28" s="21"/>
      <c r="D28" s="21"/>
      <c r="E28" s="14"/>
      <c r="F28" s="19"/>
      <c r="G28" s="23"/>
      <c r="H28" s="6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9"/>
      <c r="U28" s="6"/>
      <c r="V28" s="6"/>
      <c r="W28" s="6"/>
      <c r="X28" s="6"/>
      <c r="Y28" s="6"/>
      <c r="Z28" s="6"/>
    </row>
    <row r="29" spans="1:30" ht="19.5" customHeight="1">
      <c r="A29" s="34"/>
      <c r="B29" s="16"/>
      <c r="C29" s="27"/>
      <c r="D29" s="27"/>
      <c r="E29" s="84"/>
      <c r="F29" s="25"/>
      <c r="G29" s="26" t="s">
        <v>60</v>
      </c>
      <c r="H29" s="35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2">
        <f>+$E27/2*0.25</f>
        <v>295216.25</v>
      </c>
      <c r="T29" s="102">
        <f>+$E27/2*1</f>
        <v>1180865</v>
      </c>
      <c r="U29" s="102">
        <f>+$E27/2*0.75</f>
        <v>885648.75</v>
      </c>
      <c r="V29" s="10"/>
      <c r="W29" s="10"/>
      <c r="X29" s="10"/>
      <c r="Y29" s="10"/>
      <c r="Z29" s="10"/>
      <c r="AB29" s="94">
        <f>SUM(H29:Z29)-E27</f>
        <v>0</v>
      </c>
      <c r="AC29" s="1">
        <v>10</v>
      </c>
      <c r="AD29" s="1">
        <f>+AC29*3.7</f>
        <v>37</v>
      </c>
    </row>
    <row r="30" spans="1:30" ht="19.5" customHeight="1">
      <c r="A30" s="33" t="s">
        <v>43</v>
      </c>
      <c r="B30" s="15" t="s">
        <v>44</v>
      </c>
      <c r="C30" s="20">
        <v>1</v>
      </c>
      <c r="D30" s="21" t="s">
        <v>14</v>
      </c>
      <c r="E30" s="14">
        <f>589238+1300165</f>
        <v>1889403</v>
      </c>
      <c r="F30" s="76">
        <f>+E30/E$46</f>
        <v>0.011246446428571429</v>
      </c>
      <c r="G30" s="23" t="s">
        <v>11</v>
      </c>
      <c r="H30" s="6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04">
        <f>+U32/$E30*100</f>
        <v>100</v>
      </c>
      <c r="V30" s="6"/>
      <c r="W30" s="6"/>
      <c r="X30" s="6"/>
      <c r="Y30" s="6"/>
      <c r="Z30" s="6"/>
      <c r="AA30" s="120" t="s">
        <v>21</v>
      </c>
      <c r="AB30" s="13">
        <f>SUM(H30:Z30)</f>
        <v>100</v>
      </c>
      <c r="AC30" s="1">
        <v>9</v>
      </c>
      <c r="AD30" s="1">
        <f>+AC30*3.7</f>
        <v>33.300000000000004</v>
      </c>
    </row>
    <row r="31" spans="1:26" ht="6" customHeight="1">
      <c r="A31" s="33"/>
      <c r="B31" s="15"/>
      <c r="C31" s="20"/>
      <c r="D31" s="21"/>
      <c r="E31" s="14"/>
      <c r="F31" s="19"/>
      <c r="G31" s="23"/>
      <c r="H31" s="6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9"/>
      <c r="V31" s="6"/>
      <c r="W31" s="6"/>
      <c r="X31" s="6"/>
      <c r="Y31" s="6"/>
      <c r="Z31" s="6"/>
    </row>
    <row r="32" spans="1:30" ht="19.5" customHeight="1">
      <c r="A32" s="34"/>
      <c r="B32" s="16"/>
      <c r="C32" s="28"/>
      <c r="D32" s="27"/>
      <c r="E32" s="84"/>
      <c r="F32" s="25"/>
      <c r="G32" s="26" t="s">
        <v>60</v>
      </c>
      <c r="H32" s="35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2">
        <f>+$E30*1</f>
        <v>1889403</v>
      </c>
      <c r="V32" s="10"/>
      <c r="W32" s="10"/>
      <c r="X32" s="10"/>
      <c r="Y32" s="10"/>
      <c r="Z32" s="10"/>
      <c r="AB32" s="94">
        <f>SUM(H32:Z32)-E30</f>
        <v>0</v>
      </c>
      <c r="AC32" s="1">
        <v>8</v>
      </c>
      <c r="AD32" s="1">
        <f>+AC32*3.7</f>
        <v>29.6</v>
      </c>
    </row>
    <row r="33" spans="1:30" ht="19.5" customHeight="1">
      <c r="A33" s="31">
        <v>3</v>
      </c>
      <c r="B33" s="29" t="s">
        <v>17</v>
      </c>
      <c r="C33" s="20"/>
      <c r="D33" s="21"/>
      <c r="E33" s="14"/>
      <c r="F33" s="19"/>
      <c r="G33" s="23"/>
      <c r="H33" s="6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C33" s="1">
        <v>7</v>
      </c>
      <c r="AD33" s="1">
        <f>+AC33*3.7</f>
        <v>25.900000000000002</v>
      </c>
    </row>
    <row r="34" spans="1:30" ht="19.5" customHeight="1">
      <c r="A34" s="33">
        <v>3.1</v>
      </c>
      <c r="B34" s="15" t="s">
        <v>46</v>
      </c>
      <c r="C34" s="20">
        <v>1</v>
      </c>
      <c r="D34" s="21" t="s">
        <v>14</v>
      </c>
      <c r="E34" s="14">
        <f>0+5456790+10608370+16280630+15153337+6341885+1285260+2598200+1689395+1790772</f>
        <v>61204639</v>
      </c>
      <c r="F34" s="76">
        <f>+E34/E$46</f>
        <v>0.3643133273809524</v>
      </c>
      <c r="G34" s="23" t="s">
        <v>11</v>
      </c>
      <c r="H34" s="61"/>
      <c r="I34" s="6"/>
      <c r="J34" s="6"/>
      <c r="K34" s="6"/>
      <c r="L34" s="6"/>
      <c r="M34" s="6"/>
      <c r="N34" s="6"/>
      <c r="O34" s="6"/>
      <c r="P34" s="61">
        <f aca="true" t="shared" si="2" ref="P34:Z34">+P36/$E34*100</f>
        <v>9.523809523809524</v>
      </c>
      <c r="Q34" s="61">
        <f t="shared" si="2"/>
        <v>9.523809523809524</v>
      </c>
      <c r="R34" s="61">
        <f t="shared" si="2"/>
        <v>9.523809523809524</v>
      </c>
      <c r="S34" s="61">
        <f t="shared" si="2"/>
        <v>9.523809523809524</v>
      </c>
      <c r="T34" s="61">
        <f t="shared" si="2"/>
        <v>9.523809523809524</v>
      </c>
      <c r="U34" s="61">
        <f t="shared" si="2"/>
        <v>9.523809523809524</v>
      </c>
      <c r="V34" s="61">
        <f t="shared" si="2"/>
        <v>9.523809523809524</v>
      </c>
      <c r="W34" s="61">
        <f t="shared" si="2"/>
        <v>9.523809523809524</v>
      </c>
      <c r="X34" s="61">
        <f t="shared" si="2"/>
        <v>9.523809523809524</v>
      </c>
      <c r="Y34" s="61">
        <f t="shared" si="2"/>
        <v>9.523809523809524</v>
      </c>
      <c r="Z34" s="61">
        <f t="shared" si="2"/>
        <v>4.761904761904762</v>
      </c>
      <c r="AB34" s="13">
        <f>SUM(H34:Z34)</f>
        <v>99.99999999999999</v>
      </c>
      <c r="AC34" s="1">
        <v>6</v>
      </c>
      <c r="AD34" s="1">
        <f>+AC34*3.7</f>
        <v>22.200000000000003</v>
      </c>
    </row>
    <row r="35" spans="1:26" ht="6" customHeight="1">
      <c r="A35" s="33"/>
      <c r="B35" s="15"/>
      <c r="C35" s="20"/>
      <c r="D35" s="21"/>
      <c r="E35" s="14"/>
      <c r="F35" s="19"/>
      <c r="G35" s="23"/>
      <c r="H35" s="61"/>
      <c r="I35" s="6"/>
      <c r="J35" s="6"/>
      <c r="K35" s="6"/>
      <c r="L35" s="6"/>
      <c r="M35" s="6"/>
      <c r="N35" s="6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6"/>
    </row>
    <row r="36" spans="1:30" ht="19.5" customHeight="1">
      <c r="A36" s="34"/>
      <c r="B36" s="16"/>
      <c r="C36" s="28"/>
      <c r="D36" s="27"/>
      <c r="E36" s="84"/>
      <c r="F36" s="25"/>
      <c r="G36" s="26" t="s">
        <v>60</v>
      </c>
      <c r="H36" s="35"/>
      <c r="I36" s="10"/>
      <c r="J36" s="10"/>
      <c r="K36" s="10"/>
      <c r="L36" s="10"/>
      <c r="M36" s="10"/>
      <c r="N36" s="10"/>
      <c r="O36" s="10"/>
      <c r="P36" s="102">
        <f aca="true" t="shared" si="3" ref="P36:Y36">+$E34/10.5*1</f>
        <v>5829013.238095238</v>
      </c>
      <c r="Q36" s="102">
        <f t="shared" si="3"/>
        <v>5829013.238095238</v>
      </c>
      <c r="R36" s="102">
        <f t="shared" si="3"/>
        <v>5829013.238095238</v>
      </c>
      <c r="S36" s="102">
        <f t="shared" si="3"/>
        <v>5829013.238095238</v>
      </c>
      <c r="T36" s="102">
        <f t="shared" si="3"/>
        <v>5829013.238095238</v>
      </c>
      <c r="U36" s="102">
        <f t="shared" si="3"/>
        <v>5829013.238095238</v>
      </c>
      <c r="V36" s="102">
        <f t="shared" si="3"/>
        <v>5829013.238095238</v>
      </c>
      <c r="W36" s="102">
        <f t="shared" si="3"/>
        <v>5829013.238095238</v>
      </c>
      <c r="X36" s="102">
        <f t="shared" si="3"/>
        <v>5829013.238095238</v>
      </c>
      <c r="Y36" s="102">
        <f t="shared" si="3"/>
        <v>5829013.238095238</v>
      </c>
      <c r="Z36" s="102">
        <f>+$E34/10.5*0.5</f>
        <v>2914506.619047619</v>
      </c>
      <c r="AA36" s="120">
        <v>0.2</v>
      </c>
      <c r="AB36" s="94">
        <f>SUM(H36:Z36)-E34</f>
        <v>0</v>
      </c>
      <c r="AC36" s="1">
        <v>5</v>
      </c>
      <c r="AD36" s="1">
        <f>+AC36*3.7</f>
        <v>18.5</v>
      </c>
    </row>
    <row r="37" spans="1:30" ht="19.5" customHeight="1">
      <c r="A37" s="33">
        <v>3.2</v>
      </c>
      <c r="B37" s="15" t="s">
        <v>45</v>
      </c>
      <c r="C37" s="20">
        <v>1</v>
      </c>
      <c r="D37" s="21" t="s">
        <v>14</v>
      </c>
      <c r="E37" s="14">
        <f>1266180+16208022+674775+296000+3107000+864000</f>
        <v>22415977</v>
      </c>
      <c r="F37" s="76">
        <f>+E37/E$46</f>
        <v>0.13342843452380954</v>
      </c>
      <c r="G37" s="23" t="s">
        <v>11</v>
      </c>
      <c r="H37" s="61"/>
      <c r="I37" s="6"/>
      <c r="J37" s="6"/>
      <c r="K37" s="6"/>
      <c r="L37" s="6"/>
      <c r="M37" s="6"/>
      <c r="N37" s="6"/>
      <c r="O37" s="6"/>
      <c r="P37" s="6"/>
      <c r="Q37" s="61">
        <f aca="true" t="shared" si="4" ref="Q37:Z37">+Q39/$E37*100</f>
        <v>5.555555555555555</v>
      </c>
      <c r="R37" s="61">
        <f t="shared" si="4"/>
        <v>11.11111111111111</v>
      </c>
      <c r="S37" s="61">
        <f t="shared" si="4"/>
        <v>11.11111111111111</v>
      </c>
      <c r="T37" s="61">
        <f t="shared" si="4"/>
        <v>11.11111111111111</v>
      </c>
      <c r="U37" s="61">
        <f t="shared" si="4"/>
        <v>11.11111111111111</v>
      </c>
      <c r="V37" s="61">
        <f t="shared" si="4"/>
        <v>11.11111111111111</v>
      </c>
      <c r="W37" s="61">
        <f t="shared" si="4"/>
        <v>11.11111111111111</v>
      </c>
      <c r="X37" s="61">
        <f t="shared" si="4"/>
        <v>11.11111111111111</v>
      </c>
      <c r="Y37" s="61">
        <f t="shared" si="4"/>
        <v>11.11111111111111</v>
      </c>
      <c r="Z37" s="61">
        <f t="shared" si="4"/>
        <v>5.555555555555555</v>
      </c>
      <c r="AA37" s="120" t="s">
        <v>21</v>
      </c>
      <c r="AB37" s="13">
        <f>SUM(H37:Z37)</f>
        <v>100.00000000000001</v>
      </c>
      <c r="AC37" s="1">
        <v>4</v>
      </c>
      <c r="AD37" s="1">
        <f>+AC37*3.7</f>
        <v>14.8</v>
      </c>
    </row>
    <row r="38" spans="1:26" ht="6" customHeight="1">
      <c r="A38" s="33"/>
      <c r="B38" s="15"/>
      <c r="C38" s="20"/>
      <c r="D38" s="21"/>
      <c r="E38" s="14"/>
      <c r="F38" s="19"/>
      <c r="G38" s="23"/>
      <c r="H38" s="61"/>
      <c r="I38" s="6"/>
      <c r="J38" s="6"/>
      <c r="K38" s="6"/>
      <c r="L38" s="6"/>
      <c r="M38" s="6"/>
      <c r="N38" s="6"/>
      <c r="O38" s="6"/>
      <c r="P38" s="6"/>
      <c r="Q38" s="6"/>
      <c r="R38" s="9"/>
      <c r="S38" s="9"/>
      <c r="T38" s="9"/>
      <c r="U38" s="9"/>
      <c r="V38" s="9"/>
      <c r="W38" s="9"/>
      <c r="X38" s="9"/>
      <c r="Y38" s="9"/>
      <c r="Z38" s="6"/>
    </row>
    <row r="39" spans="1:30" ht="19.5" customHeight="1">
      <c r="A39" s="34"/>
      <c r="B39" s="16"/>
      <c r="C39" s="28"/>
      <c r="D39" s="27"/>
      <c r="E39" s="84"/>
      <c r="F39" s="25"/>
      <c r="G39" s="26" t="s">
        <v>60</v>
      </c>
      <c r="H39" s="35"/>
      <c r="I39" s="10"/>
      <c r="J39" s="10"/>
      <c r="K39" s="10"/>
      <c r="L39" s="10"/>
      <c r="M39" s="10"/>
      <c r="N39" s="10"/>
      <c r="O39" s="10"/>
      <c r="P39" s="10"/>
      <c r="Q39" s="102">
        <f>+$E37/9*0.5</f>
        <v>1245332.0555555555</v>
      </c>
      <c r="R39" s="102">
        <f aca="true" t="shared" si="5" ref="R39:Y39">+$E37/9*1</f>
        <v>2490664.111111111</v>
      </c>
      <c r="S39" s="102">
        <f t="shared" si="5"/>
        <v>2490664.111111111</v>
      </c>
      <c r="T39" s="102">
        <f t="shared" si="5"/>
        <v>2490664.111111111</v>
      </c>
      <c r="U39" s="102">
        <f t="shared" si="5"/>
        <v>2490664.111111111</v>
      </c>
      <c r="V39" s="102">
        <f t="shared" si="5"/>
        <v>2490664.111111111</v>
      </c>
      <c r="W39" s="102">
        <f t="shared" si="5"/>
        <v>2490664.111111111</v>
      </c>
      <c r="X39" s="102">
        <f t="shared" si="5"/>
        <v>2490664.111111111</v>
      </c>
      <c r="Y39" s="102">
        <f t="shared" si="5"/>
        <v>2490664.111111111</v>
      </c>
      <c r="Z39" s="102">
        <f>+$E37/9*0.5</f>
        <v>1245332.0555555555</v>
      </c>
      <c r="AA39" s="121"/>
      <c r="AB39" s="94">
        <f>SUM(H39:Z39)-E37</f>
        <v>0</v>
      </c>
      <c r="AC39" s="1">
        <v>3</v>
      </c>
      <c r="AD39" s="1">
        <f>+AC39*3.7</f>
        <v>11.100000000000001</v>
      </c>
    </row>
    <row r="40" spans="1:30" ht="19.5" customHeight="1">
      <c r="A40" s="31">
        <v>4</v>
      </c>
      <c r="B40" s="29" t="s">
        <v>47</v>
      </c>
      <c r="C40" s="20"/>
      <c r="D40" s="21"/>
      <c r="E40" s="14"/>
      <c r="F40" s="19"/>
      <c r="G40" s="23"/>
      <c r="H40" s="6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C40" s="1">
        <v>2</v>
      </c>
      <c r="AD40" s="1">
        <f>+AC40*3.7</f>
        <v>7.4</v>
      </c>
    </row>
    <row r="41" spans="1:30" ht="19.5" customHeight="1">
      <c r="A41" s="33">
        <v>4.1</v>
      </c>
      <c r="B41" s="15" t="s">
        <v>48</v>
      </c>
      <c r="C41" s="20">
        <v>1</v>
      </c>
      <c r="D41" s="21" t="s">
        <v>14</v>
      </c>
      <c r="E41" s="14">
        <f>945815+1136270</f>
        <v>2082085</v>
      </c>
      <c r="F41" s="76">
        <f>+E41/E$46</f>
        <v>0.012393363095238094</v>
      </c>
      <c r="G41" s="23" t="s">
        <v>11</v>
      </c>
      <c r="H41" s="61"/>
      <c r="I41" s="6"/>
      <c r="J41" s="6"/>
      <c r="K41" s="6"/>
      <c r="L41" s="6"/>
      <c r="M41" s="6"/>
      <c r="N41" s="6"/>
      <c r="O41" s="6"/>
      <c r="P41" s="6"/>
      <c r="Q41" s="6"/>
      <c r="R41" s="6"/>
      <c r="S41" s="61">
        <f aca="true" t="shared" si="6" ref="S41:Z41">+S43/$E41*100</f>
        <v>13.333333333333334</v>
      </c>
      <c r="T41" s="61">
        <f t="shared" si="6"/>
        <v>13.333333333333334</v>
      </c>
      <c r="U41" s="61">
        <f t="shared" si="6"/>
        <v>13.333333333333334</v>
      </c>
      <c r="V41" s="61">
        <f t="shared" si="6"/>
        <v>13.333333333333334</v>
      </c>
      <c r="W41" s="61">
        <f t="shared" si="6"/>
        <v>13.333333333333334</v>
      </c>
      <c r="X41" s="61">
        <f t="shared" si="6"/>
        <v>13.333333333333334</v>
      </c>
      <c r="Y41" s="61">
        <f t="shared" si="6"/>
        <v>13.333333333333334</v>
      </c>
      <c r="Z41" s="61">
        <f t="shared" si="6"/>
        <v>6.666666666666667</v>
      </c>
      <c r="AA41" s="120" t="s">
        <v>21</v>
      </c>
      <c r="AB41" s="13">
        <f>SUM(H41:Z41)</f>
        <v>100</v>
      </c>
      <c r="AC41" s="1">
        <v>1</v>
      </c>
      <c r="AD41" s="1">
        <f>+AC41*3.7</f>
        <v>3.7</v>
      </c>
    </row>
    <row r="42" spans="1:26" ht="6" customHeight="1">
      <c r="A42" s="33"/>
      <c r="B42" s="15"/>
      <c r="C42" s="20"/>
      <c r="D42" s="21"/>
      <c r="E42" s="14"/>
      <c r="F42" s="19"/>
      <c r="G42" s="23"/>
      <c r="H42" s="61"/>
      <c r="I42" s="6"/>
      <c r="J42" s="6"/>
      <c r="K42" s="6"/>
      <c r="L42" s="6"/>
      <c r="M42" s="6"/>
      <c r="N42" s="6"/>
      <c r="O42" s="6"/>
      <c r="P42" s="6"/>
      <c r="Q42" s="6"/>
      <c r="R42" s="6"/>
      <c r="S42" s="9"/>
      <c r="T42" s="9"/>
      <c r="U42" s="9"/>
      <c r="V42" s="9"/>
      <c r="W42" s="9"/>
      <c r="X42" s="9"/>
      <c r="Y42" s="9"/>
      <c r="Z42" s="6"/>
    </row>
    <row r="43" spans="1:30" ht="19.5" customHeight="1" thickBot="1">
      <c r="A43" s="34"/>
      <c r="B43" s="78"/>
      <c r="C43" s="79"/>
      <c r="D43" s="80"/>
      <c r="E43" s="86"/>
      <c r="F43" s="80"/>
      <c r="G43" s="26" t="s">
        <v>60</v>
      </c>
      <c r="H43" s="35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2">
        <f aca="true" t="shared" si="7" ref="S43:Y43">+$E41/7.5*1</f>
        <v>277611.3333333333</v>
      </c>
      <c r="T43" s="102">
        <f t="shared" si="7"/>
        <v>277611.3333333333</v>
      </c>
      <c r="U43" s="102">
        <f t="shared" si="7"/>
        <v>277611.3333333333</v>
      </c>
      <c r="V43" s="102">
        <f t="shared" si="7"/>
        <v>277611.3333333333</v>
      </c>
      <c r="W43" s="102">
        <f t="shared" si="7"/>
        <v>277611.3333333333</v>
      </c>
      <c r="X43" s="102">
        <f t="shared" si="7"/>
        <v>277611.3333333333</v>
      </c>
      <c r="Y43" s="102">
        <f t="shared" si="7"/>
        <v>277611.3333333333</v>
      </c>
      <c r="Z43" s="102">
        <f>+$E41/7.5*0.5</f>
        <v>138805.66666666666</v>
      </c>
      <c r="AA43" s="121">
        <v>0</v>
      </c>
      <c r="AB43" s="94">
        <f>SUM(H43:Z43)-E41</f>
        <v>0</v>
      </c>
      <c r="AC43" s="1">
        <v>0</v>
      </c>
      <c r="AD43" s="1">
        <f>+AC43*3.7</f>
        <v>0</v>
      </c>
    </row>
    <row r="44" spans="1:30" ht="19.5" customHeight="1">
      <c r="A44" s="54"/>
      <c r="B44" s="42" t="s">
        <v>23</v>
      </c>
      <c r="C44" s="81"/>
      <c r="D44" s="82"/>
      <c r="E44" s="83">
        <f>7560000+5040000</f>
        <v>12600000</v>
      </c>
      <c r="F44" s="76">
        <f>+E44/E$46</f>
        <v>0.075</v>
      </c>
      <c r="G44" s="113" t="s">
        <v>18</v>
      </c>
      <c r="H44" s="135">
        <f aca="true" t="shared" si="8" ref="H44:Z44">(+H9+H13+H17+H20+H23+H26+H29+H32+H36+H39+H43)/(168000000-12600000)*$E44</f>
        <v>214656.91216216216</v>
      </c>
      <c r="I44" s="135">
        <f t="shared" si="8"/>
        <v>434791.0540540541</v>
      </c>
      <c r="J44" s="135">
        <f t="shared" si="8"/>
        <v>224718.08108108107</v>
      </c>
      <c r="K44" s="135">
        <f t="shared" si="8"/>
        <v>224718.08108108107</v>
      </c>
      <c r="L44" s="135">
        <f t="shared" si="8"/>
        <v>224718.08108108107</v>
      </c>
      <c r="M44" s="135">
        <f t="shared" si="8"/>
        <v>224718.08108108107</v>
      </c>
      <c r="N44" s="135">
        <f t="shared" si="8"/>
        <v>283618.47972972976</v>
      </c>
      <c r="O44" s="135">
        <f t="shared" si="8"/>
        <v>556065.4459459459</v>
      </c>
      <c r="P44" s="135">
        <f t="shared" si="8"/>
        <v>1009538.9868725868</v>
      </c>
      <c r="Q44" s="135">
        <f t="shared" si="8"/>
        <v>1110511.8562419561</v>
      </c>
      <c r="R44" s="135">
        <f t="shared" si="8"/>
        <v>1460423.7283140284</v>
      </c>
      <c r="S44" s="135">
        <f t="shared" si="8"/>
        <v>1277079.3593951096</v>
      </c>
      <c r="T44" s="135">
        <f t="shared" si="8"/>
        <v>870159.8661518662</v>
      </c>
      <c r="U44" s="135">
        <f t="shared" si="8"/>
        <v>999418.2512870015</v>
      </c>
      <c r="V44" s="135">
        <f t="shared" si="8"/>
        <v>774414.0553410554</v>
      </c>
      <c r="W44" s="135">
        <f t="shared" si="8"/>
        <v>774414.0553410554</v>
      </c>
      <c r="X44" s="135">
        <f t="shared" si="8"/>
        <v>774414.0553410554</v>
      </c>
      <c r="Y44" s="135">
        <f t="shared" si="8"/>
        <v>774414.0553410554</v>
      </c>
      <c r="Z44" s="135">
        <f t="shared" si="8"/>
        <v>387207.51415701414</v>
      </c>
      <c r="AB44" s="94">
        <f>SUM(H44:Z44)-E44</f>
        <v>0</v>
      </c>
      <c r="AD44" s="1">
        <f>100/27</f>
        <v>3.7037037037037037</v>
      </c>
    </row>
    <row r="45" spans="1:26" ht="19.5" customHeight="1" thickBot="1">
      <c r="A45" s="55"/>
      <c r="B45" s="77"/>
      <c r="C45" s="47"/>
      <c r="D45" s="48"/>
      <c r="E45" s="49"/>
      <c r="F45" s="46"/>
      <c r="G45" s="112" t="s">
        <v>19</v>
      </c>
      <c r="H45" s="118">
        <f>+H44</f>
        <v>214656.91216216216</v>
      </c>
      <c r="I45" s="119">
        <f aca="true" t="shared" si="9" ref="I45:Z45">+H45+I44</f>
        <v>649447.9662162162</v>
      </c>
      <c r="J45" s="119">
        <f t="shared" si="9"/>
        <v>874166.0472972973</v>
      </c>
      <c r="K45" s="119">
        <f t="shared" si="9"/>
        <v>1098884.1283783782</v>
      </c>
      <c r="L45" s="119">
        <f t="shared" si="9"/>
        <v>1323602.2094594594</v>
      </c>
      <c r="M45" s="119">
        <f t="shared" si="9"/>
        <v>1548320.2905405406</v>
      </c>
      <c r="N45" s="119">
        <f t="shared" si="9"/>
        <v>1831938.7702702703</v>
      </c>
      <c r="O45" s="119">
        <f t="shared" si="9"/>
        <v>2388004.2162162163</v>
      </c>
      <c r="P45" s="119">
        <f t="shared" si="9"/>
        <v>3397543.203088803</v>
      </c>
      <c r="Q45" s="119">
        <f t="shared" si="9"/>
        <v>4508055.05933076</v>
      </c>
      <c r="R45" s="119">
        <f t="shared" si="9"/>
        <v>5968478.787644788</v>
      </c>
      <c r="S45" s="119">
        <f t="shared" si="9"/>
        <v>7245558.147039898</v>
      </c>
      <c r="T45" s="119">
        <f t="shared" si="9"/>
        <v>8115718.013191764</v>
      </c>
      <c r="U45" s="119">
        <f t="shared" si="9"/>
        <v>9115136.264478765</v>
      </c>
      <c r="V45" s="119">
        <f t="shared" si="9"/>
        <v>9889550.319819821</v>
      </c>
      <c r="W45" s="119">
        <f t="shared" si="9"/>
        <v>10663964.375160877</v>
      </c>
      <c r="X45" s="119">
        <f t="shared" si="9"/>
        <v>11438378.430501932</v>
      </c>
      <c r="Y45" s="119">
        <f t="shared" si="9"/>
        <v>12212792.485842988</v>
      </c>
      <c r="Z45" s="119">
        <f t="shared" si="9"/>
        <v>12600000.000000002</v>
      </c>
    </row>
    <row r="46" spans="1:28" ht="19.5" customHeight="1">
      <c r="A46" s="137"/>
      <c r="B46" s="138" t="s">
        <v>49</v>
      </c>
      <c r="C46" s="139"/>
      <c r="D46" s="140"/>
      <c r="E46" s="141">
        <f>SUM(E6:E45)</f>
        <v>168000000</v>
      </c>
      <c r="F46" s="142">
        <f>+E46/E$46</f>
        <v>1</v>
      </c>
      <c r="G46" s="143" t="s">
        <v>18</v>
      </c>
      <c r="H46" s="130">
        <f>+H9+H13+H17+H20+H23+H26+H29+H32+H36+H39+H43+H44</f>
        <v>2862092.1621621624</v>
      </c>
      <c r="I46" s="130">
        <f aca="true" t="shared" si="10" ref="H46:Z46">+I9+I13+I17+I20+I23+I26+I29+I32+I36+I39+I43+I44</f>
        <v>5797214.054054054</v>
      </c>
      <c r="J46" s="130">
        <f t="shared" si="10"/>
        <v>2996241.081081081</v>
      </c>
      <c r="K46" s="130">
        <f t="shared" si="10"/>
        <v>2996241.081081081</v>
      </c>
      <c r="L46" s="130">
        <f t="shared" si="10"/>
        <v>2996241.081081081</v>
      </c>
      <c r="M46" s="130">
        <f t="shared" si="10"/>
        <v>2996241.081081081</v>
      </c>
      <c r="N46" s="130">
        <f t="shared" si="10"/>
        <v>3781579.7297297297</v>
      </c>
      <c r="O46" s="130">
        <f t="shared" si="10"/>
        <v>7414205.945945946</v>
      </c>
      <c r="P46" s="130">
        <f t="shared" si="10"/>
        <v>13460519.824967824</v>
      </c>
      <c r="Q46" s="130">
        <f t="shared" si="10"/>
        <v>14806824.749892749</v>
      </c>
      <c r="R46" s="130">
        <f t="shared" si="10"/>
        <v>19472316.37752038</v>
      </c>
      <c r="S46" s="130">
        <f t="shared" si="10"/>
        <v>17027724.791934796</v>
      </c>
      <c r="T46" s="130">
        <f t="shared" si="10"/>
        <v>11602131.548691548</v>
      </c>
      <c r="U46" s="130">
        <f t="shared" si="10"/>
        <v>13325576.683826687</v>
      </c>
      <c r="V46" s="130">
        <f t="shared" si="10"/>
        <v>10325520.737880738</v>
      </c>
      <c r="W46" s="130">
        <f t="shared" si="10"/>
        <v>10325520.737880738</v>
      </c>
      <c r="X46" s="130">
        <f t="shared" si="10"/>
        <v>10325520.737880738</v>
      </c>
      <c r="Y46" s="130">
        <f t="shared" si="10"/>
        <v>10325520.737880738</v>
      </c>
      <c r="Z46" s="130">
        <f t="shared" si="10"/>
        <v>5162766.855426855</v>
      </c>
      <c r="AB46" s="94">
        <f>SUM(H46:Z46)-E46</f>
        <v>0</v>
      </c>
    </row>
    <row r="47" spans="1:26" ht="19.5" customHeight="1" thickBot="1">
      <c r="A47" s="144"/>
      <c r="B47" s="145"/>
      <c r="C47" s="146"/>
      <c r="D47" s="147"/>
      <c r="E47" s="148"/>
      <c r="F47" s="149"/>
      <c r="G47" s="150" t="s">
        <v>19</v>
      </c>
      <c r="H47" s="132">
        <f>+H46</f>
        <v>2862092.1621621624</v>
      </c>
      <c r="I47" s="133">
        <f aca="true" t="shared" si="11" ref="I47:Z47">+H47+I46</f>
        <v>8659306.216216218</v>
      </c>
      <c r="J47" s="133">
        <f t="shared" si="11"/>
        <v>11655547.297297299</v>
      </c>
      <c r="K47" s="133">
        <f t="shared" si="11"/>
        <v>14651788.37837838</v>
      </c>
      <c r="L47" s="133">
        <f t="shared" si="11"/>
        <v>17648029.45945946</v>
      </c>
      <c r="M47" s="133">
        <f t="shared" si="11"/>
        <v>20644270.540540542</v>
      </c>
      <c r="N47" s="133">
        <f t="shared" si="11"/>
        <v>24425850.270270273</v>
      </c>
      <c r="O47" s="133">
        <f t="shared" si="11"/>
        <v>31840056.216216218</v>
      </c>
      <c r="P47" s="133">
        <f t="shared" si="11"/>
        <v>45300576.04118404</v>
      </c>
      <c r="Q47" s="133">
        <f t="shared" si="11"/>
        <v>60107400.79107679</v>
      </c>
      <c r="R47" s="133">
        <f t="shared" si="11"/>
        <v>79579717.16859716</v>
      </c>
      <c r="S47" s="133">
        <f t="shared" si="11"/>
        <v>96607441.96053195</v>
      </c>
      <c r="T47" s="133">
        <f t="shared" si="11"/>
        <v>108209573.50922349</v>
      </c>
      <c r="U47" s="133">
        <f t="shared" si="11"/>
        <v>121535150.19305018</v>
      </c>
      <c r="V47" s="133">
        <f t="shared" si="11"/>
        <v>131860670.93093091</v>
      </c>
      <c r="W47" s="133">
        <f t="shared" si="11"/>
        <v>142186191.66881165</v>
      </c>
      <c r="X47" s="133">
        <f t="shared" si="11"/>
        <v>152511712.4066924</v>
      </c>
      <c r="Y47" s="133">
        <f t="shared" si="11"/>
        <v>162837233.14457312</v>
      </c>
      <c r="Z47" s="133">
        <f t="shared" si="11"/>
        <v>167999999.99999997</v>
      </c>
    </row>
    <row r="48" spans="1:26" ht="19.5" customHeight="1">
      <c r="A48" s="56"/>
      <c r="B48" s="40" t="s">
        <v>50</v>
      </c>
      <c r="C48" s="51"/>
      <c r="D48" s="44"/>
      <c r="E48" s="44"/>
      <c r="F48" s="44"/>
      <c r="G48" s="111" t="s">
        <v>18</v>
      </c>
      <c r="H48" s="135">
        <v>0</v>
      </c>
      <c r="I48" s="135">
        <v>6753858.7</v>
      </c>
      <c r="J48" s="135">
        <v>3916065.31</v>
      </c>
      <c r="K48" s="135">
        <v>8384739.37</v>
      </c>
      <c r="L48" s="135">
        <v>3916302.85</v>
      </c>
      <c r="M48" s="135">
        <v>3971350.35</v>
      </c>
      <c r="N48" s="135">
        <v>5768012.95</v>
      </c>
      <c r="O48" s="135">
        <v>5513215.5</v>
      </c>
      <c r="P48" s="135">
        <v>6269774.38</v>
      </c>
      <c r="Q48" s="135">
        <v>5974411.35</v>
      </c>
      <c r="R48" s="135">
        <v>7854972.49</v>
      </c>
      <c r="S48" s="135">
        <v>12651282.16</v>
      </c>
      <c r="T48" s="135">
        <v>13677476.04</v>
      </c>
      <c r="U48" s="135">
        <v>14879064.37</v>
      </c>
      <c r="V48" s="135">
        <v>15135330.12</v>
      </c>
      <c r="W48" s="135">
        <v>11247656.05</v>
      </c>
      <c r="X48" s="135">
        <v>12133989.42</v>
      </c>
      <c r="Y48" s="135">
        <v>6094766.97</v>
      </c>
      <c r="Z48" s="136">
        <f>(11637161.13+3345134.89+2975290.39)-0.02</f>
        <v>17957586.39</v>
      </c>
    </row>
    <row r="49" spans="1:26" ht="19.5" customHeight="1" thickBot="1">
      <c r="A49" s="57"/>
      <c r="B49" s="41"/>
      <c r="C49" s="52"/>
      <c r="D49" s="45"/>
      <c r="E49" s="45"/>
      <c r="F49" s="45"/>
      <c r="G49" s="48" t="s">
        <v>19</v>
      </c>
      <c r="H49" s="62">
        <f>+H48</f>
        <v>0</v>
      </c>
      <c r="I49" s="63">
        <f aca="true" t="shared" si="12" ref="I49:Z49">+H49+I48</f>
        <v>6753858.7</v>
      </c>
      <c r="J49" s="63">
        <f t="shared" si="12"/>
        <v>10669924.01</v>
      </c>
      <c r="K49" s="63">
        <f t="shared" si="12"/>
        <v>19054663.38</v>
      </c>
      <c r="L49" s="63">
        <f t="shared" si="12"/>
        <v>22970966.23</v>
      </c>
      <c r="M49" s="63">
        <f t="shared" si="12"/>
        <v>26942316.580000002</v>
      </c>
      <c r="N49" s="63">
        <f t="shared" si="12"/>
        <v>32710329.53</v>
      </c>
      <c r="O49" s="63">
        <f t="shared" si="12"/>
        <v>38223545.03</v>
      </c>
      <c r="P49" s="63">
        <f t="shared" si="12"/>
        <v>44493319.410000004</v>
      </c>
      <c r="Q49" s="63">
        <f t="shared" si="12"/>
        <v>50467730.760000005</v>
      </c>
      <c r="R49" s="63">
        <f t="shared" si="12"/>
        <v>58322703.25000001</v>
      </c>
      <c r="S49" s="63">
        <f t="shared" si="12"/>
        <v>70973985.41000001</v>
      </c>
      <c r="T49" s="63">
        <f t="shared" si="12"/>
        <v>84651461.45000002</v>
      </c>
      <c r="U49" s="63">
        <f t="shared" si="12"/>
        <v>99530525.82000002</v>
      </c>
      <c r="V49" s="63">
        <f t="shared" si="12"/>
        <v>114665855.94000003</v>
      </c>
      <c r="W49" s="63">
        <f t="shared" si="12"/>
        <v>125913511.99000002</v>
      </c>
      <c r="X49" s="63">
        <f t="shared" si="12"/>
        <v>138047501.41000003</v>
      </c>
      <c r="Y49" s="63">
        <f t="shared" si="12"/>
        <v>144142268.38000003</v>
      </c>
      <c r="Z49" s="63">
        <f t="shared" si="12"/>
        <v>162099854.77000004</v>
      </c>
    </row>
    <row r="50" spans="1:26" ht="19.5" customHeight="1">
      <c r="A50" s="155"/>
      <c r="B50" s="156" t="s">
        <v>51</v>
      </c>
      <c r="C50" s="157"/>
      <c r="D50" s="158"/>
      <c r="E50" s="158"/>
      <c r="F50" s="158"/>
      <c r="G50" s="159" t="s">
        <v>18</v>
      </c>
      <c r="H50" s="131">
        <f>+H46/$E46*100</f>
        <v>1.703626287001287</v>
      </c>
      <c r="I50" s="131">
        <f aca="true" t="shared" si="13" ref="H50:Z50">+I46/$E46*100</f>
        <v>3.450722651222651</v>
      </c>
      <c r="J50" s="131">
        <f t="shared" si="13"/>
        <v>1.7834768339768339</v>
      </c>
      <c r="K50" s="131">
        <f t="shared" si="13"/>
        <v>1.7834768339768339</v>
      </c>
      <c r="L50" s="131">
        <f t="shared" si="13"/>
        <v>1.7834768339768339</v>
      </c>
      <c r="M50" s="131">
        <f t="shared" si="13"/>
        <v>1.7834768339768339</v>
      </c>
      <c r="N50" s="131">
        <f t="shared" si="13"/>
        <v>2.2509403153153156</v>
      </c>
      <c r="O50" s="131">
        <f t="shared" si="13"/>
        <v>4.413217824967824</v>
      </c>
      <c r="P50" s="131">
        <f t="shared" si="13"/>
        <v>8.012214181528467</v>
      </c>
      <c r="Q50" s="131">
        <f t="shared" si="13"/>
        <v>8.813586160650445</v>
      </c>
      <c r="R50" s="131">
        <f t="shared" si="13"/>
        <v>11.590664510428796</v>
      </c>
      <c r="S50" s="131">
        <f t="shared" si="13"/>
        <v>10.13555047138976</v>
      </c>
      <c r="T50" s="131">
        <f t="shared" si="13"/>
        <v>6.906030683744969</v>
      </c>
      <c r="U50" s="131">
        <f t="shared" si="13"/>
        <v>7.931890883230171</v>
      </c>
      <c r="V50" s="131">
        <f t="shared" si="13"/>
        <v>6.146143296357582</v>
      </c>
      <c r="W50" s="131">
        <f t="shared" si="13"/>
        <v>6.146143296357582</v>
      </c>
      <c r="X50" s="131">
        <f t="shared" si="13"/>
        <v>6.146143296357582</v>
      </c>
      <c r="Y50" s="131">
        <f t="shared" si="13"/>
        <v>6.146143296357582</v>
      </c>
      <c r="Z50" s="131">
        <f t="shared" si="13"/>
        <v>3.0730755091826523</v>
      </c>
    </row>
    <row r="51" spans="1:26" ht="19.5" customHeight="1" thickBot="1">
      <c r="A51" s="151"/>
      <c r="B51" s="152"/>
      <c r="C51" s="153"/>
      <c r="D51" s="154"/>
      <c r="E51" s="154"/>
      <c r="F51" s="154"/>
      <c r="G51" s="147" t="s">
        <v>19</v>
      </c>
      <c r="H51" s="134">
        <f>+H50</f>
        <v>1.703626287001287</v>
      </c>
      <c r="I51" s="134">
        <f aca="true" t="shared" si="14" ref="I51:Z51">+H51+I50</f>
        <v>5.154348938223938</v>
      </c>
      <c r="J51" s="134">
        <f t="shared" si="14"/>
        <v>6.937825772200772</v>
      </c>
      <c r="K51" s="134">
        <f t="shared" si="14"/>
        <v>8.721302606177606</v>
      </c>
      <c r="L51" s="134">
        <f t="shared" si="14"/>
        <v>10.50477944015444</v>
      </c>
      <c r="M51" s="134">
        <f t="shared" si="14"/>
        <v>12.288256274131275</v>
      </c>
      <c r="N51" s="134">
        <f t="shared" si="14"/>
        <v>14.53919658944659</v>
      </c>
      <c r="O51" s="134">
        <f t="shared" si="14"/>
        <v>18.952414414414413</v>
      </c>
      <c r="P51" s="134">
        <f t="shared" si="14"/>
        <v>26.96462859594288</v>
      </c>
      <c r="Q51" s="134">
        <f t="shared" si="14"/>
        <v>35.77821475659333</v>
      </c>
      <c r="R51" s="134">
        <f t="shared" si="14"/>
        <v>47.36887926702212</v>
      </c>
      <c r="S51" s="134">
        <f t="shared" si="14"/>
        <v>57.504429738411886</v>
      </c>
      <c r="T51" s="134">
        <f t="shared" si="14"/>
        <v>64.41046042215686</v>
      </c>
      <c r="U51" s="134">
        <f t="shared" si="14"/>
        <v>72.34235130538703</v>
      </c>
      <c r="V51" s="134">
        <f t="shared" si="14"/>
        <v>78.4884946017446</v>
      </c>
      <c r="W51" s="134">
        <f t="shared" si="14"/>
        <v>84.63463789810218</v>
      </c>
      <c r="X51" s="134">
        <f t="shared" si="14"/>
        <v>90.78078119445976</v>
      </c>
      <c r="Y51" s="134">
        <f t="shared" si="14"/>
        <v>96.92692449081734</v>
      </c>
      <c r="Z51" s="134">
        <f t="shared" si="14"/>
        <v>100</v>
      </c>
    </row>
    <row r="52" spans="1:26" ht="19.5" customHeight="1">
      <c r="A52" s="56"/>
      <c r="B52" s="40" t="s">
        <v>24</v>
      </c>
      <c r="C52" s="51"/>
      <c r="D52" s="44"/>
      <c r="E52" s="44"/>
      <c r="F52" s="44"/>
      <c r="G52" s="111" t="s">
        <v>18</v>
      </c>
      <c r="H52" s="116">
        <f aca="true" t="shared" si="15" ref="H52:O52">+H48/$E46*100</f>
        <v>0</v>
      </c>
      <c r="I52" s="116">
        <f t="shared" si="15"/>
        <v>4.020153988095238</v>
      </c>
      <c r="J52" s="116">
        <f t="shared" si="15"/>
        <v>2.330991255952381</v>
      </c>
      <c r="K52" s="116">
        <f t="shared" si="15"/>
        <v>4.990916291666666</v>
      </c>
      <c r="L52" s="116">
        <f t="shared" si="15"/>
        <v>2.3311326488095236</v>
      </c>
      <c r="M52" s="116">
        <f t="shared" si="15"/>
        <v>2.363899017857143</v>
      </c>
      <c r="N52" s="116">
        <f t="shared" si="15"/>
        <v>3.433341041666667</v>
      </c>
      <c r="O52" s="116">
        <f t="shared" si="15"/>
        <v>3.281675892857143</v>
      </c>
      <c r="P52" s="116">
        <f aca="true" t="shared" si="16" ref="P52:U52">+P48/$E46*100</f>
        <v>3.73200855952381</v>
      </c>
      <c r="Q52" s="116">
        <f t="shared" si="16"/>
        <v>3.556197232142857</v>
      </c>
      <c r="R52" s="116">
        <f t="shared" si="16"/>
        <v>4.675578863095238</v>
      </c>
      <c r="S52" s="116">
        <f t="shared" si="16"/>
        <v>7.5305250952380955</v>
      </c>
      <c r="T52" s="116">
        <f t="shared" si="16"/>
        <v>8.141354785714285</v>
      </c>
      <c r="U52" s="116">
        <f t="shared" si="16"/>
        <v>8.856585934523808</v>
      </c>
      <c r="V52" s="116">
        <f>+V48/$E46*100</f>
        <v>9.00912507142857</v>
      </c>
      <c r="W52" s="116">
        <f>+W48/$E46*100</f>
        <v>6.695033363095239</v>
      </c>
      <c r="X52" s="116">
        <f>+X48/$E46*100</f>
        <v>7.22261275</v>
      </c>
      <c r="Y52" s="116">
        <f>+Y48/$E46*100</f>
        <v>3.627837482142857</v>
      </c>
      <c r="Z52" s="116">
        <f>+Z48/$E46*100</f>
        <v>10.689039517857143</v>
      </c>
    </row>
    <row r="53" spans="1:26" ht="19.5" customHeight="1" thickBot="1">
      <c r="A53" s="57"/>
      <c r="B53" s="43"/>
      <c r="C53" s="45"/>
      <c r="D53" s="45"/>
      <c r="E53" s="45"/>
      <c r="F53" s="46"/>
      <c r="G53" s="48" t="s">
        <v>19</v>
      </c>
      <c r="H53" s="114">
        <f>+H52</f>
        <v>0</v>
      </c>
      <c r="I53" s="115">
        <f aca="true" t="shared" si="17" ref="I53:Z53">+H53+I52</f>
        <v>4.020153988095238</v>
      </c>
      <c r="J53" s="115">
        <f t="shared" si="17"/>
        <v>6.351145244047619</v>
      </c>
      <c r="K53" s="115">
        <f t="shared" si="17"/>
        <v>11.342061535714286</v>
      </c>
      <c r="L53" s="115">
        <f t="shared" si="17"/>
        <v>13.67319418452381</v>
      </c>
      <c r="M53" s="115">
        <f t="shared" si="17"/>
        <v>16.03709320238095</v>
      </c>
      <c r="N53" s="115">
        <f t="shared" si="17"/>
        <v>19.470434244047617</v>
      </c>
      <c r="O53" s="115">
        <f t="shared" si="17"/>
        <v>22.75211013690476</v>
      </c>
      <c r="P53" s="115">
        <f t="shared" si="17"/>
        <v>26.48411869642857</v>
      </c>
      <c r="Q53" s="115">
        <f t="shared" si="17"/>
        <v>30.040315928571427</v>
      </c>
      <c r="R53" s="115">
        <f t="shared" si="17"/>
        <v>34.71589479166666</v>
      </c>
      <c r="S53" s="115">
        <f t="shared" si="17"/>
        <v>42.24641988690476</v>
      </c>
      <c r="T53" s="115">
        <f t="shared" si="17"/>
        <v>50.387774672619045</v>
      </c>
      <c r="U53" s="115">
        <f t="shared" si="17"/>
        <v>59.24436060714285</v>
      </c>
      <c r="V53" s="115">
        <f t="shared" si="17"/>
        <v>68.25348567857142</v>
      </c>
      <c r="W53" s="115">
        <f t="shared" si="17"/>
        <v>74.94851904166666</v>
      </c>
      <c r="X53" s="115">
        <f t="shared" si="17"/>
        <v>82.17113179166665</v>
      </c>
      <c r="Y53" s="115">
        <f t="shared" si="17"/>
        <v>85.7989692738095</v>
      </c>
      <c r="Z53" s="115">
        <f t="shared" si="17"/>
        <v>96.48800879166664</v>
      </c>
    </row>
    <row r="54" spans="1:27" s="2" customFormat="1" ht="25.5" customHeight="1" thickBot="1">
      <c r="A54" s="58"/>
      <c r="B54" s="39" t="s">
        <v>25</v>
      </c>
      <c r="C54" s="53"/>
      <c r="D54" s="50"/>
      <c r="E54" s="50"/>
      <c r="F54" s="50"/>
      <c r="G54" s="50"/>
      <c r="H54" s="99">
        <f aca="true" t="shared" si="18" ref="H54:U54">+H53-H51</f>
        <v>-1.703626287001287</v>
      </c>
      <c r="I54" s="59">
        <f t="shared" si="18"/>
        <v>-1.1341949501287</v>
      </c>
      <c r="J54" s="59">
        <f t="shared" si="18"/>
        <v>-0.5866805281531526</v>
      </c>
      <c r="K54" s="59">
        <f t="shared" si="18"/>
        <v>2.620758929536681</v>
      </c>
      <c r="L54" s="59">
        <f t="shared" si="18"/>
        <v>3.16841474436937</v>
      </c>
      <c r="M54" s="59">
        <f t="shared" si="18"/>
        <v>3.748836928249677</v>
      </c>
      <c r="N54" s="59">
        <f t="shared" si="18"/>
        <v>4.931237654601027</v>
      </c>
      <c r="O54" s="59">
        <f t="shared" si="18"/>
        <v>3.7996957224903483</v>
      </c>
      <c r="P54" s="59">
        <f t="shared" si="18"/>
        <v>-0.4805098995143098</v>
      </c>
      <c r="Q54" s="59">
        <f t="shared" si="18"/>
        <v>-5.737898828021901</v>
      </c>
      <c r="R54" s="59">
        <f t="shared" si="18"/>
        <v>-12.65298447535546</v>
      </c>
      <c r="S54" s="59">
        <f t="shared" si="18"/>
        <v>-15.258009851507126</v>
      </c>
      <c r="T54" s="59">
        <f t="shared" si="18"/>
        <v>-14.022685749537814</v>
      </c>
      <c r="U54" s="59">
        <f t="shared" si="18"/>
        <v>-13.097990698244175</v>
      </c>
      <c r="V54" s="59">
        <f>+V53-V51</f>
        <v>-10.235008923173183</v>
      </c>
      <c r="W54" s="59">
        <f>+W53-W51</f>
        <v>-9.686118856435527</v>
      </c>
      <c r="X54" s="59">
        <f>+X53-X51</f>
        <v>-8.60964940279311</v>
      </c>
      <c r="Y54" s="59">
        <f>+Y53-Y51</f>
        <v>-11.127955217007838</v>
      </c>
      <c r="Z54" s="59">
        <f>+Z53-Z51</f>
        <v>-3.511991208333356</v>
      </c>
      <c r="AA54" s="120"/>
    </row>
    <row r="55" spans="1:27" s="2" customFormat="1" ht="25.5" customHeight="1" thickBot="1">
      <c r="A55" s="58"/>
      <c r="B55" s="39" t="s">
        <v>26</v>
      </c>
      <c r="C55" s="53"/>
      <c r="D55" s="50"/>
      <c r="E55" s="50"/>
      <c r="F55" s="50"/>
      <c r="G55" s="50"/>
      <c r="H55" s="160">
        <f aca="true" t="shared" si="19" ref="H55:O55">+H5*30/$S3*100</f>
        <v>5.454545454545454</v>
      </c>
      <c r="I55" s="160">
        <f t="shared" si="19"/>
        <v>10.909090909090908</v>
      </c>
      <c r="J55" s="160">
        <f t="shared" si="19"/>
        <v>16.363636363636363</v>
      </c>
      <c r="K55" s="160">
        <f t="shared" si="19"/>
        <v>21.818181818181817</v>
      </c>
      <c r="L55" s="160">
        <f t="shared" si="19"/>
        <v>27.27272727272727</v>
      </c>
      <c r="M55" s="160">
        <f t="shared" si="19"/>
        <v>32.72727272727273</v>
      </c>
      <c r="N55" s="160">
        <f t="shared" si="19"/>
        <v>38.18181818181819</v>
      </c>
      <c r="O55" s="160">
        <f t="shared" si="19"/>
        <v>43.63636363636363</v>
      </c>
      <c r="P55" s="160">
        <f aca="true" t="shared" si="20" ref="P55:Z55">+P5*30/$S3*100</f>
        <v>49.09090909090909</v>
      </c>
      <c r="Q55" s="160">
        <f t="shared" si="20"/>
        <v>54.54545454545454</v>
      </c>
      <c r="R55" s="160">
        <f t="shared" si="20"/>
        <v>60</v>
      </c>
      <c r="S55" s="160">
        <f t="shared" si="20"/>
        <v>65.45454545454545</v>
      </c>
      <c r="T55" s="160">
        <f t="shared" si="20"/>
        <v>70.9090909090909</v>
      </c>
      <c r="U55" s="160">
        <f t="shared" si="20"/>
        <v>76.36363636363637</v>
      </c>
      <c r="V55" s="160">
        <f t="shared" si="20"/>
        <v>81.81818181818183</v>
      </c>
      <c r="W55" s="160">
        <f t="shared" si="20"/>
        <v>87.27272727272727</v>
      </c>
      <c r="X55" s="160">
        <f t="shared" si="20"/>
        <v>92.72727272727272</v>
      </c>
      <c r="Y55" s="160">
        <f t="shared" si="20"/>
        <v>98.18181818181819</v>
      </c>
      <c r="Z55" s="160">
        <f t="shared" si="20"/>
        <v>103.63636363636364</v>
      </c>
      <c r="AA55" s="120"/>
    </row>
    <row r="56" spans="2:5" ht="12.75">
      <c r="B56" s="4"/>
      <c r="C56" s="4"/>
      <c r="D56" s="4"/>
      <c r="E56" s="4"/>
    </row>
    <row r="57" spans="2:8" ht="19.5" customHeight="1" thickBot="1">
      <c r="B57" s="11" t="s">
        <v>20</v>
      </c>
      <c r="C57" s="4"/>
      <c r="D57" s="4"/>
      <c r="E57" s="12" t="s">
        <v>27</v>
      </c>
      <c r="H57" s="12" t="s">
        <v>16</v>
      </c>
    </row>
    <row r="58" spans="2:26" ht="15.75">
      <c r="B58" s="4"/>
      <c r="C58" s="4"/>
      <c r="D58" s="4"/>
      <c r="E58" s="105" t="s">
        <v>61</v>
      </c>
      <c r="F58" s="161" t="s">
        <v>61</v>
      </c>
      <c r="G58" s="106">
        <v>38533</v>
      </c>
      <c r="H58" s="106">
        <v>38563</v>
      </c>
      <c r="I58" s="107">
        <v>38594</v>
      </c>
      <c r="J58" s="107">
        <v>38625</v>
      </c>
      <c r="K58" s="107">
        <v>38655</v>
      </c>
      <c r="L58" s="107">
        <v>38686</v>
      </c>
      <c r="M58" s="108">
        <v>38716</v>
      </c>
      <c r="N58" s="109">
        <v>38747</v>
      </c>
      <c r="O58" s="107">
        <v>38776</v>
      </c>
      <c r="P58" s="107">
        <v>38806</v>
      </c>
      <c r="Q58" s="107">
        <v>38837</v>
      </c>
      <c r="R58" s="107">
        <v>38867</v>
      </c>
      <c r="S58" s="107">
        <v>38898</v>
      </c>
      <c r="T58" s="107">
        <v>38928</v>
      </c>
      <c r="U58" s="107">
        <v>38959</v>
      </c>
      <c r="V58" s="107">
        <v>38990</v>
      </c>
      <c r="W58" s="107">
        <v>39020</v>
      </c>
      <c r="X58" s="107">
        <v>39051</v>
      </c>
      <c r="Y58" s="108">
        <v>39081</v>
      </c>
      <c r="Z58" s="109">
        <v>39112</v>
      </c>
    </row>
    <row r="59" spans="2:26" ht="12.75">
      <c r="B59" s="4"/>
      <c r="C59" s="4"/>
      <c r="D59" s="4"/>
      <c r="E59" s="105" t="s">
        <v>58</v>
      </c>
      <c r="F59" s="161" t="s">
        <v>58</v>
      </c>
      <c r="G59" s="105">
        <v>0</v>
      </c>
      <c r="H59" s="110">
        <f aca="true" t="shared" si="21" ref="H59:Z59">+H46</f>
        <v>2862092.1621621624</v>
      </c>
      <c r="I59" s="110">
        <f t="shared" si="21"/>
        <v>5797214.054054054</v>
      </c>
      <c r="J59" s="110">
        <f t="shared" si="21"/>
        <v>2996241.081081081</v>
      </c>
      <c r="K59" s="110">
        <f t="shared" si="21"/>
        <v>2996241.081081081</v>
      </c>
      <c r="L59" s="110">
        <f t="shared" si="21"/>
        <v>2996241.081081081</v>
      </c>
      <c r="M59" s="110">
        <f t="shared" si="21"/>
        <v>2996241.081081081</v>
      </c>
      <c r="N59" s="110">
        <f t="shared" si="21"/>
        <v>3781579.7297297297</v>
      </c>
      <c r="O59" s="110">
        <f t="shared" si="21"/>
        <v>7414205.945945946</v>
      </c>
      <c r="P59" s="110">
        <f t="shared" si="21"/>
        <v>13460519.824967824</v>
      </c>
      <c r="Q59" s="110">
        <f t="shared" si="21"/>
        <v>14806824.749892749</v>
      </c>
      <c r="R59" s="110">
        <f t="shared" si="21"/>
        <v>19472316.37752038</v>
      </c>
      <c r="S59" s="110">
        <f t="shared" si="21"/>
        <v>17027724.791934796</v>
      </c>
      <c r="T59" s="110">
        <f t="shared" si="21"/>
        <v>11602131.548691548</v>
      </c>
      <c r="U59" s="110">
        <f t="shared" si="21"/>
        <v>13325576.683826687</v>
      </c>
      <c r="V59" s="110">
        <f t="shared" si="21"/>
        <v>10325520.737880738</v>
      </c>
      <c r="W59" s="110">
        <f t="shared" si="21"/>
        <v>10325520.737880738</v>
      </c>
      <c r="X59" s="110">
        <f t="shared" si="21"/>
        <v>10325520.737880738</v>
      </c>
      <c r="Y59" s="110">
        <f t="shared" si="21"/>
        <v>10325520.737880738</v>
      </c>
      <c r="Z59" s="110">
        <f t="shared" si="21"/>
        <v>5162766.855426855</v>
      </c>
    </row>
    <row r="60" spans="2:26" ht="12.75">
      <c r="B60" s="4"/>
      <c r="C60" s="4"/>
      <c r="D60" s="4"/>
      <c r="E60" s="105" t="s">
        <v>59</v>
      </c>
      <c r="F60" s="161" t="s">
        <v>59</v>
      </c>
      <c r="G60" s="110">
        <v>0</v>
      </c>
      <c r="H60" s="110">
        <f>+H48</f>
        <v>0</v>
      </c>
      <c r="I60" s="110">
        <f>+I48</f>
        <v>6753858.7</v>
      </c>
      <c r="J60" s="110">
        <f>+J48</f>
        <v>3916065.31</v>
      </c>
      <c r="K60" s="110">
        <f>+K48</f>
        <v>8384739.37</v>
      </c>
      <c r="L60" s="110">
        <f>L48</f>
        <v>3916302.85</v>
      </c>
      <c r="M60" s="110">
        <f>M48</f>
        <v>3971350.35</v>
      </c>
      <c r="N60" s="110">
        <f>N48</f>
        <v>5768012.95</v>
      </c>
      <c r="O60" s="110">
        <f>O48</f>
        <v>5513215.5</v>
      </c>
      <c r="P60" s="110">
        <v>6269774.38</v>
      </c>
      <c r="Q60" s="110">
        <f aca="true" t="shared" si="22" ref="Q60:V60">Q48</f>
        <v>5974411.35</v>
      </c>
      <c r="R60" s="110">
        <f t="shared" si="22"/>
        <v>7854972.49</v>
      </c>
      <c r="S60" s="110">
        <f t="shared" si="22"/>
        <v>12651282.16</v>
      </c>
      <c r="T60" s="110">
        <f t="shared" si="22"/>
        <v>13677476.04</v>
      </c>
      <c r="U60" s="110">
        <f t="shared" si="22"/>
        <v>14879064.37</v>
      </c>
      <c r="V60" s="110">
        <f t="shared" si="22"/>
        <v>15135330.12</v>
      </c>
      <c r="W60" s="110">
        <f>W48</f>
        <v>11247656.05</v>
      </c>
      <c r="X60" s="110">
        <f>X48</f>
        <v>12133989.42</v>
      </c>
      <c r="Y60" s="110">
        <f>Y48</f>
        <v>6094766.97</v>
      </c>
      <c r="Z60" s="110">
        <f>Z48</f>
        <v>17957586.39</v>
      </c>
    </row>
    <row r="61" spans="2:26" ht="12.75">
      <c r="B61" s="4"/>
      <c r="C61" s="4"/>
      <c r="D61" s="4"/>
      <c r="E61" s="105" t="s">
        <v>62</v>
      </c>
      <c r="F61" s="161" t="s">
        <v>62</v>
      </c>
      <c r="G61" s="110">
        <f>+G59</f>
        <v>0</v>
      </c>
      <c r="H61" s="110">
        <f>+H59</f>
        <v>2862092.1621621624</v>
      </c>
      <c r="I61" s="110">
        <f aca="true" t="shared" si="23" ref="I61:Z61">+H61+I59</f>
        <v>8659306.216216218</v>
      </c>
      <c r="J61" s="110">
        <f t="shared" si="23"/>
        <v>11655547.297297299</v>
      </c>
      <c r="K61" s="110">
        <f t="shared" si="23"/>
        <v>14651788.37837838</v>
      </c>
      <c r="L61" s="110">
        <f t="shared" si="23"/>
        <v>17648029.45945946</v>
      </c>
      <c r="M61" s="110">
        <f t="shared" si="23"/>
        <v>20644270.540540542</v>
      </c>
      <c r="N61" s="110">
        <f t="shared" si="23"/>
        <v>24425850.270270273</v>
      </c>
      <c r="O61" s="110">
        <f t="shared" si="23"/>
        <v>31840056.216216218</v>
      </c>
      <c r="P61" s="110">
        <f t="shared" si="23"/>
        <v>45300576.04118404</v>
      </c>
      <c r="Q61" s="110">
        <f t="shared" si="23"/>
        <v>60107400.79107679</v>
      </c>
      <c r="R61" s="110">
        <f t="shared" si="23"/>
        <v>79579717.16859716</v>
      </c>
      <c r="S61" s="110">
        <f t="shared" si="23"/>
        <v>96607441.96053195</v>
      </c>
      <c r="T61" s="110">
        <f t="shared" si="23"/>
        <v>108209573.50922349</v>
      </c>
      <c r="U61" s="110">
        <f t="shared" si="23"/>
        <v>121535150.19305018</v>
      </c>
      <c r="V61" s="110">
        <f t="shared" si="23"/>
        <v>131860670.93093091</v>
      </c>
      <c r="W61" s="110">
        <f t="shared" si="23"/>
        <v>142186191.66881165</v>
      </c>
      <c r="X61" s="110">
        <f t="shared" si="23"/>
        <v>152511712.4066924</v>
      </c>
      <c r="Y61" s="110">
        <f t="shared" si="23"/>
        <v>162837233.14457312</v>
      </c>
      <c r="Z61" s="110">
        <f t="shared" si="23"/>
        <v>167999999.99999997</v>
      </c>
    </row>
    <row r="62" spans="2:26" ht="12.75">
      <c r="B62" s="4"/>
      <c r="C62" s="4"/>
      <c r="D62" s="4"/>
      <c r="E62" s="105" t="s">
        <v>63</v>
      </c>
      <c r="F62" s="161" t="s">
        <v>63</v>
      </c>
      <c r="G62" s="110">
        <f>+G60</f>
        <v>0</v>
      </c>
      <c r="H62" s="110">
        <f>+H60</f>
        <v>0</v>
      </c>
      <c r="I62" s="110">
        <f aca="true" t="shared" si="24" ref="I62:Z62">+H62+I60</f>
        <v>6753858.7</v>
      </c>
      <c r="J62" s="110">
        <f t="shared" si="24"/>
        <v>10669924.01</v>
      </c>
      <c r="K62" s="110">
        <f t="shared" si="24"/>
        <v>19054663.38</v>
      </c>
      <c r="L62" s="110">
        <f t="shared" si="24"/>
        <v>22970966.23</v>
      </c>
      <c r="M62" s="110">
        <f t="shared" si="24"/>
        <v>26942316.580000002</v>
      </c>
      <c r="N62" s="110">
        <f t="shared" si="24"/>
        <v>32710329.53</v>
      </c>
      <c r="O62" s="110">
        <f t="shared" si="24"/>
        <v>38223545.03</v>
      </c>
      <c r="P62" s="110">
        <f t="shared" si="24"/>
        <v>44493319.410000004</v>
      </c>
      <c r="Q62" s="110">
        <f t="shared" si="24"/>
        <v>50467730.760000005</v>
      </c>
      <c r="R62" s="110">
        <f t="shared" si="24"/>
        <v>58322703.25000001</v>
      </c>
      <c r="S62" s="110">
        <f t="shared" si="24"/>
        <v>70973985.41000001</v>
      </c>
      <c r="T62" s="110">
        <f t="shared" si="24"/>
        <v>84651461.45000002</v>
      </c>
      <c r="U62" s="110">
        <f t="shared" si="24"/>
        <v>99530525.82000002</v>
      </c>
      <c r="V62" s="110">
        <f t="shared" si="24"/>
        <v>114665855.94000003</v>
      </c>
      <c r="W62" s="110">
        <f t="shared" si="24"/>
        <v>125913511.99000002</v>
      </c>
      <c r="X62" s="110">
        <f t="shared" si="24"/>
        <v>138047501.41000003</v>
      </c>
      <c r="Y62" s="110">
        <f t="shared" si="24"/>
        <v>144142268.38000003</v>
      </c>
      <c r="Z62" s="110">
        <f t="shared" si="24"/>
        <v>162099854.77000004</v>
      </c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ht="12.75">
      <c r="E74" s="4"/>
    </row>
    <row r="75" ht="12.75">
      <c r="E75" s="4"/>
    </row>
    <row r="76" ht="12.75">
      <c r="E76" s="4"/>
    </row>
    <row r="77" ht="12.75">
      <c r="E77" s="4"/>
    </row>
    <row r="78" ht="12.75">
      <c r="E78" s="4"/>
    </row>
    <row r="79" ht="12.75">
      <c r="E79" s="4"/>
    </row>
    <row r="80" ht="12.75">
      <c r="E80" s="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  <row r="101" ht="12.75">
      <c r="E101" s="4"/>
    </row>
    <row r="102" ht="12.75">
      <c r="E102" s="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  <row r="129" ht="12.75">
      <c r="E129" s="4"/>
    </row>
    <row r="130" ht="12.75">
      <c r="E130" s="4"/>
    </row>
    <row r="131" ht="12.75">
      <c r="E131" s="4"/>
    </row>
    <row r="132" ht="12.75">
      <c r="E132" s="4"/>
    </row>
    <row r="133" ht="12.75">
      <c r="E133" s="4"/>
    </row>
    <row r="134" ht="12.75">
      <c r="E134" s="4"/>
    </row>
    <row r="135" ht="12.75">
      <c r="E135" s="4"/>
    </row>
    <row r="136" ht="12.75">
      <c r="E136" s="4"/>
    </row>
    <row r="137" ht="12.75">
      <c r="E137" s="4"/>
    </row>
    <row r="138" ht="12.75">
      <c r="E138" s="4"/>
    </row>
    <row r="139" ht="12.75">
      <c r="E139" s="4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  <row r="144" ht="12.75">
      <c r="E144" s="4"/>
    </row>
    <row r="145" ht="12.75">
      <c r="E145" s="4"/>
    </row>
    <row r="146" ht="12.75">
      <c r="E146" s="4"/>
    </row>
    <row r="147" ht="12.75">
      <c r="E147" s="4"/>
    </row>
    <row r="148" ht="12.75">
      <c r="E148" s="4"/>
    </row>
    <row r="149" ht="12.75">
      <c r="E149" s="4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</sheetData>
  <sheetProtection/>
  <printOptions/>
  <pageMargins left="0.35433070866141736" right="0" top="0.5905511811023623" bottom="0.3937007874015748" header="0.31496062992125984" footer="0.11811023622047245"/>
  <pageSetup horizontalDpi="600" verticalDpi="600" orientation="landscape" paperSize="9" scale="43" r:id="rId2"/>
  <headerFooter alignWithMargins="0">
    <oddFooter>&amp;C&amp;8&amp;F/&amp;A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5"/>
  <sheetViews>
    <sheetView zoomScale="75" zoomScaleNormal="75" zoomScalePageLayoutView="0" workbookViewId="0" topLeftCell="O28">
      <selection activeCell="Y61" sqref="Y61"/>
    </sheetView>
  </sheetViews>
  <sheetFormatPr defaultColWidth="9.140625" defaultRowHeight="12.75"/>
  <cols>
    <col min="1" max="1" width="5.7109375" style="1" customWidth="1"/>
    <col min="2" max="2" width="36.421875" style="1" customWidth="1"/>
    <col min="3" max="4" width="6.57421875" style="1" customWidth="1"/>
    <col min="5" max="5" width="18.8515625" style="1" customWidth="1"/>
    <col min="6" max="6" width="9.7109375" style="1" customWidth="1"/>
    <col min="7" max="7" width="14.7109375" style="1" customWidth="1"/>
    <col min="8" max="26" width="12.140625" style="1" customWidth="1"/>
    <col min="27" max="27" width="6.421875" style="120" customWidth="1"/>
    <col min="28" max="28" width="12.7109375" style="1" customWidth="1"/>
    <col min="29" max="29" width="18.28125" style="1" customWidth="1"/>
    <col min="30" max="16384" width="9.140625" style="1" customWidth="1"/>
  </cols>
  <sheetData>
    <row r="1" spans="2:27" s="3" customFormat="1" ht="21" customHeight="1">
      <c r="B1" s="70" t="s">
        <v>57</v>
      </c>
      <c r="E1" s="67"/>
      <c r="F1" s="36"/>
      <c r="I1" s="60"/>
      <c r="J1" s="17"/>
      <c r="N1" s="92" t="s">
        <v>56</v>
      </c>
      <c r="O1" s="92"/>
      <c r="X1" s="38"/>
      <c r="Y1" s="87"/>
      <c r="Z1" s="91" t="s">
        <v>55</v>
      </c>
      <c r="AA1" s="120"/>
    </row>
    <row r="2" spans="2:27" s="3" customFormat="1" ht="21" customHeight="1">
      <c r="B2" s="70"/>
      <c r="E2" s="67"/>
      <c r="F2" s="36"/>
      <c r="I2" s="60"/>
      <c r="J2" s="17"/>
      <c r="O2" s="92"/>
      <c r="X2" s="38"/>
      <c r="Y2" s="87"/>
      <c r="Z2" s="91"/>
      <c r="AA2" s="120"/>
    </row>
    <row r="3" spans="2:27" s="3" customFormat="1" ht="21" customHeight="1" thickBot="1">
      <c r="B3" s="69" t="s">
        <v>3</v>
      </c>
      <c r="E3" s="68">
        <v>168000000</v>
      </c>
      <c r="F3" s="17" t="s">
        <v>4</v>
      </c>
      <c r="G3" s="37" t="s">
        <v>22</v>
      </c>
      <c r="I3" s="3" t="s">
        <v>52</v>
      </c>
      <c r="K3" s="67">
        <v>39278</v>
      </c>
      <c r="L3" s="17"/>
      <c r="M3" s="3" t="s">
        <v>2</v>
      </c>
      <c r="O3" s="67">
        <v>39827</v>
      </c>
      <c r="Q3" s="3" t="s">
        <v>0</v>
      </c>
      <c r="S3" s="60">
        <f>+O3-K3+1</f>
        <v>550</v>
      </c>
      <c r="T3" s="17" t="s">
        <v>1</v>
      </c>
      <c r="V3" s="87"/>
      <c r="W3" s="87" t="s">
        <v>53</v>
      </c>
      <c r="X3" s="88">
        <v>0</v>
      </c>
      <c r="Y3" s="89" t="s">
        <v>54</v>
      </c>
      <c r="Z3" s="90">
        <f ca="1">NOW()</f>
        <v>40004.72575914352</v>
      </c>
      <c r="AA3" s="120"/>
    </row>
    <row r="4" spans="1:27" s="3" customFormat="1" ht="18.75" customHeight="1" thickBot="1">
      <c r="A4" s="122" t="s">
        <v>5</v>
      </c>
      <c r="B4" s="123" t="s">
        <v>6</v>
      </c>
      <c r="C4" s="124" t="s">
        <v>7</v>
      </c>
      <c r="D4" s="124" t="s">
        <v>8</v>
      </c>
      <c r="E4" s="123" t="s">
        <v>9</v>
      </c>
      <c r="F4" s="123" t="s">
        <v>10</v>
      </c>
      <c r="G4" s="125" t="s">
        <v>15</v>
      </c>
      <c r="H4" s="64">
        <v>39293</v>
      </c>
      <c r="I4" s="65">
        <v>39324</v>
      </c>
      <c r="J4" s="65">
        <v>39355</v>
      </c>
      <c r="K4" s="65">
        <v>39385</v>
      </c>
      <c r="L4" s="65">
        <v>39416</v>
      </c>
      <c r="M4" s="66">
        <v>39446</v>
      </c>
      <c r="N4" s="64">
        <v>39477</v>
      </c>
      <c r="O4" s="65">
        <v>39506</v>
      </c>
      <c r="P4" s="65">
        <v>39537</v>
      </c>
      <c r="Q4" s="65">
        <v>39568</v>
      </c>
      <c r="R4" s="65">
        <v>39598</v>
      </c>
      <c r="S4" s="65">
        <v>39629</v>
      </c>
      <c r="T4" s="65">
        <v>39659</v>
      </c>
      <c r="U4" s="65">
        <v>39690</v>
      </c>
      <c r="V4" s="65">
        <v>39721</v>
      </c>
      <c r="W4" s="65">
        <v>39751</v>
      </c>
      <c r="X4" s="65">
        <v>39782</v>
      </c>
      <c r="Y4" s="66">
        <v>39812</v>
      </c>
      <c r="Z4" s="64">
        <v>39477</v>
      </c>
      <c r="AA4" s="120"/>
    </row>
    <row r="5" spans="1:30" s="3" customFormat="1" ht="18.75" customHeight="1" thickBot="1">
      <c r="A5" s="126" t="s">
        <v>12</v>
      </c>
      <c r="B5" s="127"/>
      <c r="C5" s="127"/>
      <c r="D5" s="127"/>
      <c r="E5" s="128" t="s">
        <v>13</v>
      </c>
      <c r="F5" s="127"/>
      <c r="G5" s="129"/>
      <c r="H5" s="71" t="s">
        <v>28</v>
      </c>
      <c r="I5" s="72">
        <v>2</v>
      </c>
      <c r="J5" s="72">
        <v>3</v>
      </c>
      <c r="K5" s="72">
        <v>4</v>
      </c>
      <c r="L5" s="72">
        <v>5</v>
      </c>
      <c r="M5" s="73">
        <v>6</v>
      </c>
      <c r="N5" s="74">
        <v>7</v>
      </c>
      <c r="O5" s="72">
        <v>8</v>
      </c>
      <c r="P5" s="72">
        <v>9</v>
      </c>
      <c r="Q5" s="72">
        <v>10</v>
      </c>
      <c r="R5" s="72">
        <v>11</v>
      </c>
      <c r="S5" s="72">
        <v>12</v>
      </c>
      <c r="T5" s="72">
        <v>13</v>
      </c>
      <c r="U5" s="72">
        <v>14</v>
      </c>
      <c r="V5" s="72">
        <v>15</v>
      </c>
      <c r="W5" s="72">
        <v>16</v>
      </c>
      <c r="X5" s="72">
        <v>17</v>
      </c>
      <c r="Y5" s="73">
        <v>18</v>
      </c>
      <c r="Z5" s="74">
        <v>19</v>
      </c>
      <c r="AA5" s="121">
        <v>1</v>
      </c>
      <c r="AC5" s="3">
        <v>27</v>
      </c>
      <c r="AD5" s="1">
        <f>+AC5*3.7</f>
        <v>99.9</v>
      </c>
    </row>
    <row r="6" spans="1:30" ht="19.5" customHeight="1">
      <c r="A6" s="30">
        <v>1</v>
      </c>
      <c r="B6" s="18" t="s">
        <v>29</v>
      </c>
      <c r="C6" s="18"/>
      <c r="D6" s="18"/>
      <c r="E6" s="19"/>
      <c r="F6" s="19"/>
      <c r="G6" s="100"/>
      <c r="H6" s="9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95"/>
      <c r="AC6" s="1">
        <v>26</v>
      </c>
      <c r="AD6" s="1">
        <f>+AC6*3.7</f>
        <v>96.2</v>
      </c>
    </row>
    <row r="7" spans="1:30" ht="19.5" customHeight="1">
      <c r="A7" s="32">
        <v>1.1</v>
      </c>
      <c r="B7" s="14" t="s">
        <v>29</v>
      </c>
      <c r="C7" s="20">
        <v>1</v>
      </c>
      <c r="D7" s="21" t="s">
        <v>14</v>
      </c>
      <c r="E7" s="14">
        <v>21475730</v>
      </c>
      <c r="F7" s="76">
        <f>+E7/E$46</f>
        <v>0.1278317261904762</v>
      </c>
      <c r="G7" s="23" t="s">
        <v>11</v>
      </c>
      <c r="H7" s="61">
        <f>+H9/$E7*100</f>
        <v>10.211569059584937</v>
      </c>
      <c r="I7" s="61">
        <f aca="true" t="shared" si="0" ref="I7:Z7">+I9/$E7*100</f>
        <v>16.505692705207228</v>
      </c>
      <c r="J7" s="61">
        <f t="shared" si="0"/>
        <v>4.441376381617761</v>
      </c>
      <c r="K7" s="61">
        <f t="shared" si="0"/>
        <v>4.441376381617761</v>
      </c>
      <c r="L7" s="61">
        <f t="shared" si="0"/>
        <v>4.441376381617761</v>
      </c>
      <c r="M7" s="61">
        <f t="shared" si="0"/>
        <v>4.441376381617761</v>
      </c>
      <c r="N7" s="61">
        <f t="shared" si="0"/>
        <v>4.441376381617761</v>
      </c>
      <c r="O7" s="61">
        <f t="shared" si="0"/>
        <v>4.441376381617761</v>
      </c>
      <c r="P7" s="61">
        <f t="shared" si="0"/>
        <v>4.441376381617761</v>
      </c>
      <c r="Q7" s="61">
        <f t="shared" si="0"/>
        <v>4.441376381617761</v>
      </c>
      <c r="R7" s="61">
        <f t="shared" si="0"/>
        <v>4.441376381617761</v>
      </c>
      <c r="S7" s="61">
        <f t="shared" si="0"/>
        <v>4.441376381617761</v>
      </c>
      <c r="T7" s="61">
        <f t="shared" si="0"/>
        <v>4.441376381617761</v>
      </c>
      <c r="U7" s="61">
        <f t="shared" si="0"/>
        <v>4.441376381617761</v>
      </c>
      <c r="V7" s="61">
        <f t="shared" si="0"/>
        <v>4.441376381617761</v>
      </c>
      <c r="W7" s="61">
        <f t="shared" si="0"/>
        <v>4.441376381617761</v>
      </c>
      <c r="X7" s="61">
        <f t="shared" si="0"/>
        <v>4.441376381617761</v>
      </c>
      <c r="Y7" s="61">
        <f t="shared" si="0"/>
        <v>4.441376381617761</v>
      </c>
      <c r="Z7" s="61">
        <f t="shared" si="0"/>
        <v>2.2207161293236597</v>
      </c>
      <c r="AB7" s="13">
        <f>SUM(H7:Z7)</f>
        <v>99.99999999999996</v>
      </c>
      <c r="AC7" s="1">
        <v>25</v>
      </c>
      <c r="AD7" s="1">
        <f>+AC7*3.7</f>
        <v>92.5</v>
      </c>
    </row>
    <row r="8" spans="1:26" ht="6" customHeight="1">
      <c r="A8" s="33"/>
      <c r="B8" s="15"/>
      <c r="C8" s="22"/>
      <c r="D8" s="15"/>
      <c r="E8" s="14" t="s">
        <v>21</v>
      </c>
      <c r="F8" s="19"/>
      <c r="G8" s="23"/>
      <c r="H8" s="9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/>
    </row>
    <row r="9" spans="1:30" ht="19.5" customHeight="1">
      <c r="A9" s="34"/>
      <c r="B9" s="16"/>
      <c r="C9" s="24"/>
      <c r="D9" s="16"/>
      <c r="E9" s="84"/>
      <c r="F9" s="25"/>
      <c r="G9" s="26" t="s">
        <v>60</v>
      </c>
      <c r="H9" s="102">
        <f>2055000*0.5+65000*0.5+157000*0.3+2030000*0.3+953818/2</f>
        <v>2193009</v>
      </c>
      <c r="I9" s="102">
        <f>2055000*0.5+65000*0.5+157000*0.7+2030000*0.7+953818</f>
        <v>3544718</v>
      </c>
      <c r="J9" s="102">
        <v>953818</v>
      </c>
      <c r="K9" s="102">
        <v>953818</v>
      </c>
      <c r="L9" s="102">
        <v>953818</v>
      </c>
      <c r="M9" s="102">
        <v>953818</v>
      </c>
      <c r="N9" s="102">
        <v>953818</v>
      </c>
      <c r="O9" s="102">
        <v>953818</v>
      </c>
      <c r="P9" s="102">
        <v>953818</v>
      </c>
      <c r="Q9" s="102">
        <v>953818</v>
      </c>
      <c r="R9" s="102">
        <v>953818</v>
      </c>
      <c r="S9" s="102">
        <v>953818</v>
      </c>
      <c r="T9" s="102">
        <v>953818</v>
      </c>
      <c r="U9" s="102">
        <v>953818</v>
      </c>
      <c r="V9" s="102">
        <v>953818</v>
      </c>
      <c r="W9" s="102">
        <v>953818</v>
      </c>
      <c r="X9" s="102">
        <v>953818</v>
      </c>
      <c r="Y9" s="102">
        <v>953818</v>
      </c>
      <c r="Z9" s="102">
        <f>476909+6</f>
        <v>476915</v>
      </c>
      <c r="AB9" s="94">
        <f>SUM(H9:Z9)-E7</f>
        <v>0</v>
      </c>
      <c r="AC9" s="1">
        <v>24</v>
      </c>
      <c r="AD9" s="1">
        <f>+AC9*3.7</f>
        <v>88.80000000000001</v>
      </c>
    </row>
    <row r="10" spans="1:30" ht="19.5" customHeight="1">
      <c r="A10" s="30">
        <v>2</v>
      </c>
      <c r="B10" s="18" t="s">
        <v>30</v>
      </c>
      <c r="C10" s="18"/>
      <c r="D10" s="18"/>
      <c r="E10" s="85"/>
      <c r="F10" s="19"/>
      <c r="G10" s="101"/>
      <c r="H10" s="9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C10" s="1">
        <v>23</v>
      </c>
      <c r="AD10" s="1">
        <f>+AC10*3.7</f>
        <v>85.10000000000001</v>
      </c>
    </row>
    <row r="11" spans="1:30" ht="19.5" customHeight="1">
      <c r="A11" s="33">
        <v>2.1</v>
      </c>
      <c r="B11" s="19" t="s">
        <v>31</v>
      </c>
      <c r="C11" s="20">
        <v>1</v>
      </c>
      <c r="D11" s="21" t="s">
        <v>14</v>
      </c>
      <c r="E11" s="14">
        <f>8544501+2361729</f>
        <v>10906230</v>
      </c>
      <c r="F11" s="76">
        <f>+E11/E$46</f>
        <v>0.06491803571428571</v>
      </c>
      <c r="G11" s="23" t="s">
        <v>11</v>
      </c>
      <c r="H11" s="61">
        <f aca="true" t="shared" si="1" ref="H11:N11">+H13/$E11*100</f>
        <v>4.166666666666666</v>
      </c>
      <c r="I11" s="61">
        <f t="shared" si="1"/>
        <v>16.666666666666664</v>
      </c>
      <c r="J11" s="61">
        <f t="shared" si="1"/>
        <v>16.666666666666664</v>
      </c>
      <c r="K11" s="61">
        <f t="shared" si="1"/>
        <v>16.666666666666664</v>
      </c>
      <c r="L11" s="61">
        <f t="shared" si="1"/>
        <v>16.666666666666664</v>
      </c>
      <c r="M11" s="61">
        <f t="shared" si="1"/>
        <v>16.666666666666664</v>
      </c>
      <c r="N11" s="61">
        <f t="shared" si="1"/>
        <v>12.5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20">
        <v>0.8</v>
      </c>
      <c r="AB11" s="13">
        <f>SUM(H11:Z11)</f>
        <v>99.99999999999997</v>
      </c>
      <c r="AC11" s="1">
        <v>22</v>
      </c>
      <c r="AD11" s="1">
        <f>+AC11*3.7</f>
        <v>81.4</v>
      </c>
    </row>
    <row r="12" spans="1:26" ht="6" customHeight="1">
      <c r="A12" s="33"/>
      <c r="B12" s="15"/>
      <c r="C12" s="22"/>
      <c r="D12" s="15"/>
      <c r="E12" s="14"/>
      <c r="F12" s="19"/>
      <c r="G12" s="23"/>
      <c r="H12" s="61"/>
      <c r="I12" s="9"/>
      <c r="J12" s="9"/>
      <c r="K12" s="9"/>
      <c r="L12" s="9"/>
      <c r="M12" s="9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30" ht="19.5" customHeight="1">
      <c r="A13" s="34"/>
      <c r="B13" s="16"/>
      <c r="C13" s="24"/>
      <c r="D13" s="16"/>
      <c r="E13" s="84"/>
      <c r="F13" s="25"/>
      <c r="G13" s="26" t="s">
        <v>60</v>
      </c>
      <c r="H13" s="103">
        <f>1817705*0.25</f>
        <v>454426.25</v>
      </c>
      <c r="I13" s="103">
        <v>1817705</v>
      </c>
      <c r="J13" s="103">
        <v>1817705</v>
      </c>
      <c r="K13" s="103">
        <v>1817705</v>
      </c>
      <c r="L13" s="103">
        <v>1817705</v>
      </c>
      <c r="M13" s="103">
        <v>1817705</v>
      </c>
      <c r="N13" s="103">
        <f>1817705*0.75</f>
        <v>1363278.75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B13" s="94">
        <f>SUM(H13:Z13)-E11</f>
        <v>0</v>
      </c>
      <c r="AC13" s="1">
        <v>21</v>
      </c>
      <c r="AD13" s="1">
        <f>+AC13*3.7</f>
        <v>77.7</v>
      </c>
    </row>
    <row r="14" spans="1:30" ht="19.5" customHeight="1">
      <c r="A14" s="33">
        <v>2.2</v>
      </c>
      <c r="B14" s="15" t="s">
        <v>32</v>
      </c>
      <c r="C14" s="22"/>
      <c r="D14" s="15"/>
      <c r="E14" s="14"/>
      <c r="F14" s="19"/>
      <c r="G14" s="23"/>
      <c r="H14" s="6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1">
        <v>20</v>
      </c>
      <c r="AD14" s="1">
        <f>+AC14*3.7</f>
        <v>74</v>
      </c>
    </row>
    <row r="15" spans="1:30" ht="19.5" customHeight="1">
      <c r="A15" s="75" t="s">
        <v>33</v>
      </c>
      <c r="B15" s="15" t="s">
        <v>34</v>
      </c>
      <c r="C15" s="20">
        <v>1</v>
      </c>
      <c r="D15" s="21" t="s">
        <v>14</v>
      </c>
      <c r="E15" s="14">
        <v>2361729</v>
      </c>
      <c r="F15" s="76">
        <f>+E15/E$46</f>
        <v>0.014057910714285714</v>
      </c>
      <c r="G15" s="23" t="s">
        <v>11</v>
      </c>
      <c r="H15" s="61"/>
      <c r="I15" s="6"/>
      <c r="J15" s="6"/>
      <c r="K15" s="6"/>
      <c r="L15" s="6"/>
      <c r="M15" s="6"/>
      <c r="N15" s="61">
        <f>+N17/$E15*100</f>
        <v>50</v>
      </c>
      <c r="O15" s="61">
        <f>+O17/$E15*100</f>
        <v>50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B15" s="13">
        <f>SUM(H15:Z15)</f>
        <v>100</v>
      </c>
      <c r="AC15" s="1">
        <v>19</v>
      </c>
      <c r="AD15" s="1">
        <f>+AC15*3.7</f>
        <v>70.3</v>
      </c>
    </row>
    <row r="16" spans="1:26" ht="6" customHeight="1">
      <c r="A16" s="33"/>
      <c r="B16" s="15"/>
      <c r="C16" s="22"/>
      <c r="D16" s="15"/>
      <c r="E16" s="14"/>
      <c r="F16" s="19"/>
      <c r="G16" s="23"/>
      <c r="H16" s="61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30" ht="19.5" customHeight="1">
      <c r="A17" s="34"/>
      <c r="B17" s="16"/>
      <c r="C17" s="24"/>
      <c r="D17" s="16"/>
      <c r="E17" s="84"/>
      <c r="F17" s="25"/>
      <c r="G17" s="26" t="s">
        <v>60</v>
      </c>
      <c r="H17" s="35"/>
      <c r="I17" s="10"/>
      <c r="J17" s="10"/>
      <c r="K17" s="10"/>
      <c r="L17" s="10"/>
      <c r="M17" s="10"/>
      <c r="N17" s="102">
        <f>+$E15/2</f>
        <v>1180864.5</v>
      </c>
      <c r="O17" s="102">
        <f>+$E15/2</f>
        <v>1180864.5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B17" s="94">
        <f>SUM(H17:Z17)-E15</f>
        <v>0</v>
      </c>
      <c r="AC17" s="1">
        <v>18</v>
      </c>
      <c r="AD17" s="1">
        <f>+AC17*3.7</f>
        <v>66.60000000000001</v>
      </c>
    </row>
    <row r="18" spans="1:30" ht="19.5" customHeight="1">
      <c r="A18" s="33" t="s">
        <v>38</v>
      </c>
      <c r="B18" s="15" t="s">
        <v>35</v>
      </c>
      <c r="C18" s="20">
        <v>1</v>
      </c>
      <c r="D18" s="21" t="s">
        <v>14</v>
      </c>
      <c r="E18" s="14">
        <f>+E15*2</f>
        <v>4723458</v>
      </c>
      <c r="F18" s="76">
        <f>+E18/E$46</f>
        <v>0.028115821428571428</v>
      </c>
      <c r="G18" s="23" t="s">
        <v>11</v>
      </c>
      <c r="H18" s="61"/>
      <c r="I18" s="6"/>
      <c r="J18" s="6"/>
      <c r="K18" s="6"/>
      <c r="L18" s="6"/>
      <c r="M18" s="6"/>
      <c r="N18" s="6"/>
      <c r="O18" s="61">
        <f>+O20/$E18*100</f>
        <v>100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B18" s="13">
        <f>SUM(H18:Z18)</f>
        <v>100</v>
      </c>
      <c r="AC18" s="1">
        <v>17</v>
      </c>
      <c r="AD18" s="1">
        <f>+AC18*3.7</f>
        <v>62.900000000000006</v>
      </c>
    </row>
    <row r="19" spans="1:26" ht="6" customHeight="1">
      <c r="A19" s="33"/>
      <c r="B19" s="15"/>
      <c r="C19" s="21"/>
      <c r="D19" s="21"/>
      <c r="E19" s="14"/>
      <c r="F19" s="19"/>
      <c r="G19" s="23"/>
      <c r="H19" s="6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30" ht="19.5" customHeight="1">
      <c r="A20" s="34"/>
      <c r="B20" s="16"/>
      <c r="C20" s="27"/>
      <c r="D20" s="27"/>
      <c r="E20" s="84"/>
      <c r="F20" s="25"/>
      <c r="G20" s="26" t="s">
        <v>60</v>
      </c>
      <c r="H20" s="35"/>
      <c r="I20" s="10"/>
      <c r="J20" s="10"/>
      <c r="K20" s="10"/>
      <c r="L20" s="10"/>
      <c r="M20" s="10"/>
      <c r="N20" s="10"/>
      <c r="O20" s="102">
        <f>+$E18</f>
        <v>4723458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0">
        <v>0.6</v>
      </c>
      <c r="AB20" s="94">
        <f>SUM(H20:Z20)-E18</f>
        <v>0</v>
      </c>
      <c r="AC20" s="1">
        <v>16</v>
      </c>
      <c r="AD20" s="1">
        <f>+AC20*3.7</f>
        <v>59.2</v>
      </c>
    </row>
    <row r="21" spans="1:30" ht="19.5" customHeight="1">
      <c r="A21" s="33" t="s">
        <v>39</v>
      </c>
      <c r="B21" s="15" t="s">
        <v>36</v>
      </c>
      <c r="C21" s="20">
        <v>1</v>
      </c>
      <c r="D21" s="21" t="s">
        <v>14</v>
      </c>
      <c r="E21" s="14">
        <f>+E15*6</f>
        <v>14170374</v>
      </c>
      <c r="F21" s="76">
        <f>+E21/E$46</f>
        <v>0.08434746428571428</v>
      </c>
      <c r="G21" s="23" t="s">
        <v>11</v>
      </c>
      <c r="H21" s="61"/>
      <c r="I21" s="6"/>
      <c r="J21" s="6"/>
      <c r="K21" s="6"/>
      <c r="L21" s="6"/>
      <c r="M21" s="6"/>
      <c r="N21" s="6"/>
      <c r="O21" s="61"/>
      <c r="P21" s="61">
        <f>+P23/$E21*100</f>
        <v>40</v>
      </c>
      <c r="Q21" s="61">
        <f>+Q23/$E21*100</f>
        <v>40</v>
      </c>
      <c r="R21" s="61">
        <f>+R23/$E21*100</f>
        <v>20</v>
      </c>
      <c r="S21" s="6"/>
      <c r="T21" s="6"/>
      <c r="U21" s="6"/>
      <c r="V21" s="6"/>
      <c r="W21" s="6"/>
      <c r="X21" s="6"/>
      <c r="Y21" s="6"/>
      <c r="Z21" s="6"/>
      <c r="AB21" s="13">
        <f>SUM(H21:Z21)</f>
        <v>100</v>
      </c>
      <c r="AC21" s="1">
        <v>15</v>
      </c>
      <c r="AD21" s="1">
        <f>+AC21*3.7</f>
        <v>55.5</v>
      </c>
    </row>
    <row r="22" spans="1:26" ht="6" customHeight="1">
      <c r="A22" s="33"/>
      <c r="B22" s="15"/>
      <c r="C22" s="21"/>
      <c r="D22" s="21"/>
      <c r="E22" s="14"/>
      <c r="F22" s="19"/>
      <c r="G22" s="23"/>
      <c r="H22" s="61"/>
      <c r="I22" s="6"/>
      <c r="J22" s="6"/>
      <c r="K22" s="6"/>
      <c r="L22" s="6"/>
      <c r="M22" s="6"/>
      <c r="N22" s="6"/>
      <c r="O22" s="6"/>
      <c r="P22" s="9"/>
      <c r="Q22" s="9"/>
      <c r="R22" s="6"/>
      <c r="S22" s="6"/>
      <c r="T22" s="6"/>
      <c r="U22" s="6"/>
      <c r="V22" s="6"/>
      <c r="W22" s="6"/>
      <c r="X22" s="6"/>
      <c r="Y22" s="6"/>
      <c r="Z22" s="6"/>
    </row>
    <row r="23" spans="1:30" ht="19.5" customHeight="1">
      <c r="A23" s="34"/>
      <c r="B23" s="16"/>
      <c r="C23" s="27"/>
      <c r="D23" s="27"/>
      <c r="E23" s="84"/>
      <c r="F23" s="25"/>
      <c r="G23" s="26" t="s">
        <v>60</v>
      </c>
      <c r="H23" s="35"/>
      <c r="I23" s="10"/>
      <c r="J23" s="10"/>
      <c r="K23" s="10"/>
      <c r="L23" s="10"/>
      <c r="M23" s="10"/>
      <c r="N23" s="10"/>
      <c r="O23" s="102"/>
      <c r="P23" s="102">
        <f>+$E21/2.5*1</f>
        <v>5668149.6</v>
      </c>
      <c r="Q23" s="102">
        <f>+$E21/2.5*1</f>
        <v>5668149.6</v>
      </c>
      <c r="R23" s="102">
        <f>+$E21/2.5*0.5</f>
        <v>2834074.8</v>
      </c>
      <c r="S23" s="10"/>
      <c r="T23" s="10"/>
      <c r="U23" s="10"/>
      <c r="V23" s="10"/>
      <c r="W23" s="10"/>
      <c r="X23" s="10"/>
      <c r="Y23" s="10"/>
      <c r="Z23" s="10"/>
      <c r="AB23" s="94">
        <f>SUM(H23:Z23)-E21</f>
        <v>0</v>
      </c>
      <c r="AC23" s="1">
        <v>14</v>
      </c>
      <c r="AD23" s="1">
        <f>+AC23*3.7</f>
        <v>51.800000000000004</v>
      </c>
    </row>
    <row r="24" spans="1:30" ht="19.5" customHeight="1">
      <c r="A24" s="33" t="s">
        <v>40</v>
      </c>
      <c r="B24" s="15" t="s">
        <v>37</v>
      </c>
      <c r="C24" s="20">
        <v>1</v>
      </c>
      <c r="D24" s="21" t="s">
        <v>14</v>
      </c>
      <c r="E24" s="14">
        <f>+E15*5</f>
        <v>11808645</v>
      </c>
      <c r="F24" s="76">
        <f>+E24/E$46</f>
        <v>0.07028955357142858</v>
      </c>
      <c r="G24" s="23" t="s">
        <v>11</v>
      </c>
      <c r="H24" s="61"/>
      <c r="I24" s="6"/>
      <c r="J24" s="6"/>
      <c r="K24" s="6"/>
      <c r="L24" s="6"/>
      <c r="M24" s="6"/>
      <c r="N24" s="6"/>
      <c r="O24" s="6"/>
      <c r="P24" s="6"/>
      <c r="Q24" s="6"/>
      <c r="R24" s="61">
        <f>+R26/$E24*100</f>
        <v>50</v>
      </c>
      <c r="S24" s="104">
        <f>+S26/$E24*100</f>
        <v>50</v>
      </c>
      <c r="T24" s="6"/>
      <c r="U24" s="6"/>
      <c r="V24" s="6"/>
      <c r="W24" s="6"/>
      <c r="X24" s="6"/>
      <c r="Y24" s="6"/>
      <c r="Z24" s="6"/>
      <c r="AB24" s="13">
        <f>SUM(H24:Z24)</f>
        <v>100</v>
      </c>
      <c r="AC24" s="1">
        <v>13</v>
      </c>
      <c r="AD24" s="1">
        <f>+AC24*3.7</f>
        <v>48.1</v>
      </c>
    </row>
    <row r="25" spans="1:26" ht="6" customHeight="1">
      <c r="A25" s="33"/>
      <c r="B25" s="15"/>
      <c r="C25" s="21"/>
      <c r="D25" s="21"/>
      <c r="E25" s="14"/>
      <c r="F25" s="19"/>
      <c r="G25" s="23"/>
      <c r="H25" s="6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30" ht="19.5" customHeight="1">
      <c r="A26" s="34"/>
      <c r="B26" s="16"/>
      <c r="C26" s="27"/>
      <c r="D26" s="27"/>
      <c r="E26" s="84"/>
      <c r="F26" s="25"/>
      <c r="G26" s="26" t="s">
        <v>60</v>
      </c>
      <c r="H26" s="35"/>
      <c r="I26" s="10"/>
      <c r="J26" s="10"/>
      <c r="K26" s="10"/>
      <c r="L26" s="10"/>
      <c r="M26" s="10"/>
      <c r="N26" s="10"/>
      <c r="O26" s="10"/>
      <c r="P26" s="10"/>
      <c r="Q26" s="10"/>
      <c r="R26" s="102">
        <f>+$E24/2</f>
        <v>5904322.5</v>
      </c>
      <c r="S26" s="102">
        <f>+$E24/2</f>
        <v>5904322.5</v>
      </c>
      <c r="T26" s="10"/>
      <c r="U26" s="10"/>
      <c r="V26" s="10"/>
      <c r="W26" s="10"/>
      <c r="X26" s="10"/>
      <c r="Y26" s="10"/>
      <c r="Z26" s="10"/>
      <c r="AB26" s="94">
        <f>SUM(H26:Z26)-E24</f>
        <v>0</v>
      </c>
      <c r="AC26" s="1">
        <v>12</v>
      </c>
      <c r="AD26" s="1">
        <f>+AC26*3.7</f>
        <v>44.400000000000006</v>
      </c>
    </row>
    <row r="27" spans="1:30" ht="19.5" customHeight="1">
      <c r="A27" s="33" t="s">
        <v>41</v>
      </c>
      <c r="B27" s="15" t="s">
        <v>42</v>
      </c>
      <c r="C27" s="20">
        <v>1</v>
      </c>
      <c r="D27" s="21" t="s">
        <v>14</v>
      </c>
      <c r="E27" s="14">
        <f>+E15*1+1</f>
        <v>2361730</v>
      </c>
      <c r="F27" s="76">
        <f>+E27/E$46</f>
        <v>0.014057916666666666</v>
      </c>
      <c r="G27" s="23" t="s">
        <v>11</v>
      </c>
      <c r="H27" s="61"/>
      <c r="I27" s="6"/>
      <c r="J27" s="6"/>
      <c r="K27" s="6"/>
      <c r="L27" s="6"/>
      <c r="M27" s="6"/>
      <c r="N27" s="6"/>
      <c r="O27" s="6"/>
      <c r="P27" s="6"/>
      <c r="Q27" s="6"/>
      <c r="R27" s="6"/>
      <c r="S27" s="104">
        <f>+S29/$E27*100</f>
        <v>12.5</v>
      </c>
      <c r="T27" s="104">
        <f>+T29/$E27*100</f>
        <v>50</v>
      </c>
      <c r="U27" s="104">
        <f>+U29/$E27*100</f>
        <v>37.5</v>
      </c>
      <c r="V27" s="6"/>
      <c r="W27" s="6"/>
      <c r="X27" s="6"/>
      <c r="Y27" s="6"/>
      <c r="Z27" s="6"/>
      <c r="AA27" s="120">
        <v>0.4</v>
      </c>
      <c r="AB27" s="13">
        <f>SUM(H27:Z27)</f>
        <v>100</v>
      </c>
      <c r="AC27" s="1">
        <v>11</v>
      </c>
      <c r="AD27" s="1">
        <f>+AC27*3.7</f>
        <v>40.7</v>
      </c>
    </row>
    <row r="28" spans="1:26" ht="6" customHeight="1">
      <c r="A28" s="33"/>
      <c r="B28" s="15"/>
      <c r="C28" s="21"/>
      <c r="D28" s="21"/>
      <c r="E28" s="14"/>
      <c r="F28" s="19"/>
      <c r="G28" s="23"/>
      <c r="H28" s="6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9"/>
      <c r="U28" s="6"/>
      <c r="V28" s="6"/>
      <c r="W28" s="6"/>
      <c r="X28" s="6"/>
      <c r="Y28" s="6"/>
      <c r="Z28" s="6"/>
    </row>
    <row r="29" spans="1:30" ht="19.5" customHeight="1">
      <c r="A29" s="34"/>
      <c r="B29" s="16"/>
      <c r="C29" s="27"/>
      <c r="D29" s="27"/>
      <c r="E29" s="84"/>
      <c r="F29" s="25"/>
      <c r="G29" s="26" t="s">
        <v>60</v>
      </c>
      <c r="H29" s="35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2">
        <f>+$E27/2*0.25</f>
        <v>295216.25</v>
      </c>
      <c r="T29" s="102">
        <f>+$E27/2*1</f>
        <v>1180865</v>
      </c>
      <c r="U29" s="102">
        <f>+$E27/2*0.75</f>
        <v>885648.75</v>
      </c>
      <c r="V29" s="10"/>
      <c r="W29" s="10"/>
      <c r="X29" s="10"/>
      <c r="Y29" s="10"/>
      <c r="Z29" s="10"/>
      <c r="AB29" s="94">
        <f>SUM(H29:Z29)-E27</f>
        <v>0</v>
      </c>
      <c r="AC29" s="1">
        <v>10</v>
      </c>
      <c r="AD29" s="1">
        <f>+AC29*3.7</f>
        <v>37</v>
      </c>
    </row>
    <row r="30" spans="1:30" ht="19.5" customHeight="1">
      <c r="A30" s="33" t="s">
        <v>43</v>
      </c>
      <c r="B30" s="15" t="s">
        <v>44</v>
      </c>
      <c r="C30" s="20">
        <v>1</v>
      </c>
      <c r="D30" s="21" t="s">
        <v>14</v>
      </c>
      <c r="E30" s="14">
        <f>589238+1300165</f>
        <v>1889403</v>
      </c>
      <c r="F30" s="76">
        <f>+E30/E$46</f>
        <v>0.011246446428571429</v>
      </c>
      <c r="G30" s="23" t="s">
        <v>11</v>
      </c>
      <c r="H30" s="6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04">
        <f>+U32/$E30*100</f>
        <v>100</v>
      </c>
      <c r="V30" s="6"/>
      <c r="W30" s="6"/>
      <c r="X30" s="6"/>
      <c r="Y30" s="6"/>
      <c r="Z30" s="6"/>
      <c r="AA30" s="120" t="s">
        <v>21</v>
      </c>
      <c r="AB30" s="13">
        <f>SUM(H30:Z30)</f>
        <v>100</v>
      </c>
      <c r="AC30" s="1">
        <v>9</v>
      </c>
      <c r="AD30" s="1">
        <f>+AC30*3.7</f>
        <v>33.300000000000004</v>
      </c>
    </row>
    <row r="31" spans="1:26" ht="6" customHeight="1">
      <c r="A31" s="33"/>
      <c r="B31" s="15"/>
      <c r="C31" s="20"/>
      <c r="D31" s="21"/>
      <c r="E31" s="14"/>
      <c r="F31" s="19"/>
      <c r="G31" s="23"/>
      <c r="H31" s="6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9"/>
      <c r="V31" s="6"/>
      <c r="W31" s="6"/>
      <c r="X31" s="6"/>
      <c r="Y31" s="6"/>
      <c r="Z31" s="6"/>
    </row>
    <row r="32" spans="1:30" ht="19.5" customHeight="1">
      <c r="A32" s="34"/>
      <c r="B32" s="16"/>
      <c r="C32" s="28"/>
      <c r="D32" s="27"/>
      <c r="E32" s="84"/>
      <c r="F32" s="25"/>
      <c r="G32" s="26" t="s">
        <v>60</v>
      </c>
      <c r="H32" s="35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2">
        <f>+$E30*1</f>
        <v>1889403</v>
      </c>
      <c r="V32" s="10"/>
      <c r="W32" s="10"/>
      <c r="X32" s="10"/>
      <c r="Y32" s="10"/>
      <c r="Z32" s="10"/>
      <c r="AB32" s="94">
        <f>SUM(H32:Z32)-E30</f>
        <v>0</v>
      </c>
      <c r="AC32" s="1">
        <v>8</v>
      </c>
      <c r="AD32" s="1">
        <f>+AC32*3.7</f>
        <v>29.6</v>
      </c>
    </row>
    <row r="33" spans="1:30" ht="19.5" customHeight="1">
      <c r="A33" s="31">
        <v>3</v>
      </c>
      <c r="B33" s="29" t="s">
        <v>17</v>
      </c>
      <c r="C33" s="20"/>
      <c r="D33" s="21"/>
      <c r="E33" s="14"/>
      <c r="F33" s="19"/>
      <c r="G33" s="23"/>
      <c r="H33" s="6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C33" s="1">
        <v>7</v>
      </c>
      <c r="AD33" s="1">
        <f>+AC33*3.7</f>
        <v>25.900000000000002</v>
      </c>
    </row>
    <row r="34" spans="1:30" ht="19.5" customHeight="1">
      <c r="A34" s="33">
        <v>3.1</v>
      </c>
      <c r="B34" s="15" t="s">
        <v>46</v>
      </c>
      <c r="C34" s="20">
        <v>1</v>
      </c>
      <c r="D34" s="21" t="s">
        <v>14</v>
      </c>
      <c r="E34" s="14">
        <f>0+5456790+10608370+16280630+15153337+6341885+1285260+2598200+1689395+1790772</f>
        <v>61204639</v>
      </c>
      <c r="F34" s="76">
        <f>+E34/E$46</f>
        <v>0.3643133273809524</v>
      </c>
      <c r="G34" s="23" t="s">
        <v>11</v>
      </c>
      <c r="H34" s="61"/>
      <c r="I34" s="6"/>
      <c r="J34" s="6"/>
      <c r="K34" s="6"/>
      <c r="L34" s="6"/>
      <c r="M34" s="6"/>
      <c r="N34" s="6"/>
      <c r="O34" s="6"/>
      <c r="P34" s="61">
        <f aca="true" t="shared" si="2" ref="P34:Z34">+P36/$E34*100</f>
        <v>9.523809523809524</v>
      </c>
      <c r="Q34" s="61">
        <f t="shared" si="2"/>
        <v>9.523809523809524</v>
      </c>
      <c r="R34" s="61">
        <f t="shared" si="2"/>
        <v>9.523809523809524</v>
      </c>
      <c r="S34" s="61">
        <f t="shared" si="2"/>
        <v>9.523809523809524</v>
      </c>
      <c r="T34" s="61">
        <f t="shared" si="2"/>
        <v>9.523809523809524</v>
      </c>
      <c r="U34" s="61">
        <f t="shared" si="2"/>
        <v>9.523809523809524</v>
      </c>
      <c r="V34" s="61">
        <f t="shared" si="2"/>
        <v>9.523809523809524</v>
      </c>
      <c r="W34" s="61">
        <f t="shared" si="2"/>
        <v>9.523809523809524</v>
      </c>
      <c r="X34" s="61">
        <f t="shared" si="2"/>
        <v>9.523809523809524</v>
      </c>
      <c r="Y34" s="61">
        <f t="shared" si="2"/>
        <v>9.523809523809524</v>
      </c>
      <c r="Z34" s="61">
        <f t="shared" si="2"/>
        <v>4.761904761904762</v>
      </c>
      <c r="AB34" s="13">
        <f>SUM(H34:Z34)</f>
        <v>99.99999999999999</v>
      </c>
      <c r="AC34" s="1">
        <v>6</v>
      </c>
      <c r="AD34" s="1">
        <f>+AC34*3.7</f>
        <v>22.200000000000003</v>
      </c>
    </row>
    <row r="35" spans="1:26" ht="6" customHeight="1">
      <c r="A35" s="33"/>
      <c r="B35" s="15"/>
      <c r="C35" s="20"/>
      <c r="D35" s="21"/>
      <c r="E35" s="14"/>
      <c r="F35" s="19"/>
      <c r="G35" s="23"/>
      <c r="H35" s="61"/>
      <c r="I35" s="6"/>
      <c r="J35" s="6"/>
      <c r="K35" s="6"/>
      <c r="L35" s="6"/>
      <c r="M35" s="6"/>
      <c r="N35" s="6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6"/>
    </row>
    <row r="36" spans="1:30" ht="19.5" customHeight="1">
      <c r="A36" s="34"/>
      <c r="B36" s="16"/>
      <c r="C36" s="28"/>
      <c r="D36" s="27"/>
      <c r="E36" s="84"/>
      <c r="F36" s="25"/>
      <c r="G36" s="26" t="s">
        <v>60</v>
      </c>
      <c r="H36" s="35"/>
      <c r="I36" s="10"/>
      <c r="J36" s="10"/>
      <c r="K36" s="10"/>
      <c r="L36" s="10"/>
      <c r="M36" s="10"/>
      <c r="N36" s="10"/>
      <c r="O36" s="10"/>
      <c r="P36" s="102">
        <f>+$E34/10.5*1</f>
        <v>5829013.238095238</v>
      </c>
      <c r="Q36" s="102">
        <f aca="true" t="shared" si="3" ref="Q36:Y36">+$E34/10.5*1</f>
        <v>5829013.238095238</v>
      </c>
      <c r="R36" s="102">
        <f t="shared" si="3"/>
        <v>5829013.238095238</v>
      </c>
      <c r="S36" s="102">
        <f t="shared" si="3"/>
        <v>5829013.238095238</v>
      </c>
      <c r="T36" s="102">
        <f t="shared" si="3"/>
        <v>5829013.238095238</v>
      </c>
      <c r="U36" s="102">
        <f t="shared" si="3"/>
        <v>5829013.238095238</v>
      </c>
      <c r="V36" s="102">
        <f t="shared" si="3"/>
        <v>5829013.238095238</v>
      </c>
      <c r="W36" s="102">
        <f t="shared" si="3"/>
        <v>5829013.238095238</v>
      </c>
      <c r="X36" s="102">
        <f t="shared" si="3"/>
        <v>5829013.238095238</v>
      </c>
      <c r="Y36" s="102">
        <f t="shared" si="3"/>
        <v>5829013.238095238</v>
      </c>
      <c r="Z36" s="102">
        <f>+$E34/10.5*0.5</f>
        <v>2914506.619047619</v>
      </c>
      <c r="AA36" s="120">
        <v>0.2</v>
      </c>
      <c r="AB36" s="94">
        <f>SUM(H36:Z36)-E34</f>
        <v>0</v>
      </c>
      <c r="AC36" s="1">
        <v>5</v>
      </c>
      <c r="AD36" s="1">
        <f>+AC36*3.7</f>
        <v>18.5</v>
      </c>
    </row>
    <row r="37" spans="1:30" ht="19.5" customHeight="1">
      <c r="A37" s="33">
        <v>3.2</v>
      </c>
      <c r="B37" s="15" t="s">
        <v>45</v>
      </c>
      <c r="C37" s="20">
        <v>1</v>
      </c>
      <c r="D37" s="21" t="s">
        <v>14</v>
      </c>
      <c r="E37" s="14">
        <f>1266180+16208022+674775+296000+3107000+864000</f>
        <v>22415977</v>
      </c>
      <c r="F37" s="76">
        <f>+E37/E$46</f>
        <v>0.13342843452380954</v>
      </c>
      <c r="G37" s="23" t="s">
        <v>11</v>
      </c>
      <c r="H37" s="61"/>
      <c r="I37" s="6"/>
      <c r="J37" s="6"/>
      <c r="K37" s="6"/>
      <c r="L37" s="6"/>
      <c r="M37" s="6"/>
      <c r="N37" s="6"/>
      <c r="O37" s="6"/>
      <c r="P37" s="6"/>
      <c r="Q37" s="61">
        <f aca="true" t="shared" si="4" ref="Q37:Z37">+Q39/$E37*100</f>
        <v>5.555555555555555</v>
      </c>
      <c r="R37" s="61">
        <f t="shared" si="4"/>
        <v>11.11111111111111</v>
      </c>
      <c r="S37" s="61">
        <f t="shared" si="4"/>
        <v>11.11111111111111</v>
      </c>
      <c r="T37" s="61">
        <f t="shared" si="4"/>
        <v>11.11111111111111</v>
      </c>
      <c r="U37" s="61">
        <f t="shared" si="4"/>
        <v>11.11111111111111</v>
      </c>
      <c r="V37" s="61">
        <f t="shared" si="4"/>
        <v>11.11111111111111</v>
      </c>
      <c r="W37" s="61">
        <f t="shared" si="4"/>
        <v>11.11111111111111</v>
      </c>
      <c r="X37" s="61">
        <f t="shared" si="4"/>
        <v>11.11111111111111</v>
      </c>
      <c r="Y37" s="61">
        <f t="shared" si="4"/>
        <v>11.11111111111111</v>
      </c>
      <c r="Z37" s="61">
        <f t="shared" si="4"/>
        <v>5.555555555555555</v>
      </c>
      <c r="AA37" s="120" t="s">
        <v>21</v>
      </c>
      <c r="AB37" s="13">
        <f>SUM(H37:Z37)</f>
        <v>100.00000000000001</v>
      </c>
      <c r="AC37" s="1">
        <v>4</v>
      </c>
      <c r="AD37" s="1">
        <f>+AC37*3.7</f>
        <v>14.8</v>
      </c>
    </row>
    <row r="38" spans="1:26" ht="6" customHeight="1">
      <c r="A38" s="33"/>
      <c r="B38" s="15"/>
      <c r="C38" s="20"/>
      <c r="D38" s="21"/>
      <c r="E38" s="14"/>
      <c r="F38" s="19"/>
      <c r="G38" s="23"/>
      <c r="H38" s="61"/>
      <c r="I38" s="6"/>
      <c r="J38" s="6"/>
      <c r="K38" s="6"/>
      <c r="L38" s="6"/>
      <c r="M38" s="6"/>
      <c r="N38" s="6"/>
      <c r="O38" s="6"/>
      <c r="P38" s="6"/>
      <c r="Q38" s="6"/>
      <c r="R38" s="9"/>
      <c r="S38" s="9"/>
      <c r="T38" s="9"/>
      <c r="U38" s="9"/>
      <c r="V38" s="9"/>
      <c r="W38" s="9"/>
      <c r="X38" s="9"/>
      <c r="Y38" s="9"/>
      <c r="Z38" s="6"/>
    </row>
    <row r="39" spans="1:30" ht="19.5" customHeight="1">
      <c r="A39" s="34"/>
      <c r="B39" s="16"/>
      <c r="C39" s="28"/>
      <c r="D39" s="27"/>
      <c r="E39" s="84"/>
      <c r="F39" s="25"/>
      <c r="G39" s="26" t="s">
        <v>60</v>
      </c>
      <c r="H39" s="35"/>
      <c r="I39" s="10"/>
      <c r="J39" s="10"/>
      <c r="K39" s="10"/>
      <c r="L39" s="10"/>
      <c r="M39" s="10"/>
      <c r="N39" s="10"/>
      <c r="O39" s="10"/>
      <c r="P39" s="10"/>
      <c r="Q39" s="102">
        <f>+$E37/9*0.5</f>
        <v>1245332.0555555555</v>
      </c>
      <c r="R39" s="102">
        <f>+$E37/9*1</f>
        <v>2490664.111111111</v>
      </c>
      <c r="S39" s="102">
        <f aca="true" t="shared" si="5" ref="S39:Y39">+$E37/9*1</f>
        <v>2490664.111111111</v>
      </c>
      <c r="T39" s="102">
        <f t="shared" si="5"/>
        <v>2490664.111111111</v>
      </c>
      <c r="U39" s="102">
        <f t="shared" si="5"/>
        <v>2490664.111111111</v>
      </c>
      <c r="V39" s="102">
        <f t="shared" si="5"/>
        <v>2490664.111111111</v>
      </c>
      <c r="W39" s="102">
        <f t="shared" si="5"/>
        <v>2490664.111111111</v>
      </c>
      <c r="X39" s="102">
        <f t="shared" si="5"/>
        <v>2490664.111111111</v>
      </c>
      <c r="Y39" s="102">
        <f t="shared" si="5"/>
        <v>2490664.111111111</v>
      </c>
      <c r="Z39" s="102">
        <f>+$E37/9*0.5</f>
        <v>1245332.0555555555</v>
      </c>
      <c r="AA39" s="121"/>
      <c r="AB39" s="94">
        <f>SUM(H39:Z39)-E37</f>
        <v>0</v>
      </c>
      <c r="AC39" s="1">
        <v>3</v>
      </c>
      <c r="AD39" s="1">
        <f>+AC39*3.7</f>
        <v>11.100000000000001</v>
      </c>
    </row>
    <row r="40" spans="1:30" ht="19.5" customHeight="1">
      <c r="A40" s="31">
        <v>4</v>
      </c>
      <c r="B40" s="29" t="s">
        <v>47</v>
      </c>
      <c r="C40" s="20"/>
      <c r="D40" s="21"/>
      <c r="E40" s="14"/>
      <c r="F40" s="19"/>
      <c r="G40" s="23"/>
      <c r="H40" s="6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C40" s="1">
        <v>2</v>
      </c>
      <c r="AD40" s="1">
        <f>+AC40*3.7</f>
        <v>7.4</v>
      </c>
    </row>
    <row r="41" spans="1:30" ht="19.5" customHeight="1">
      <c r="A41" s="33">
        <v>4.1</v>
      </c>
      <c r="B41" s="15" t="s">
        <v>48</v>
      </c>
      <c r="C41" s="20">
        <v>1</v>
      </c>
      <c r="D41" s="21" t="s">
        <v>14</v>
      </c>
      <c r="E41" s="14">
        <f>945815+1136270</f>
        <v>2082085</v>
      </c>
      <c r="F41" s="76">
        <f>+E41/E$46</f>
        <v>0.012393363095238094</v>
      </c>
      <c r="G41" s="23" t="s">
        <v>11</v>
      </c>
      <c r="H41" s="61"/>
      <c r="I41" s="6"/>
      <c r="J41" s="6"/>
      <c r="K41" s="6"/>
      <c r="L41" s="6"/>
      <c r="M41" s="6"/>
      <c r="N41" s="6"/>
      <c r="O41" s="6"/>
      <c r="P41" s="6"/>
      <c r="Q41" s="6"/>
      <c r="R41" s="6"/>
      <c r="S41" s="61">
        <f aca="true" t="shared" si="6" ref="S41:Z41">+S43/$E41*100</f>
        <v>13.333333333333334</v>
      </c>
      <c r="T41" s="61">
        <f t="shared" si="6"/>
        <v>13.333333333333334</v>
      </c>
      <c r="U41" s="61">
        <f t="shared" si="6"/>
        <v>13.333333333333334</v>
      </c>
      <c r="V41" s="61">
        <f t="shared" si="6"/>
        <v>13.333333333333334</v>
      </c>
      <c r="W41" s="61">
        <f t="shared" si="6"/>
        <v>13.333333333333334</v>
      </c>
      <c r="X41" s="61">
        <f t="shared" si="6"/>
        <v>13.333333333333334</v>
      </c>
      <c r="Y41" s="61">
        <f t="shared" si="6"/>
        <v>13.333333333333334</v>
      </c>
      <c r="Z41" s="61">
        <f t="shared" si="6"/>
        <v>6.666666666666667</v>
      </c>
      <c r="AA41" s="120" t="s">
        <v>21</v>
      </c>
      <c r="AB41" s="13">
        <f>SUM(H41:Z41)</f>
        <v>100</v>
      </c>
      <c r="AC41" s="1">
        <v>1</v>
      </c>
      <c r="AD41" s="1">
        <f>+AC41*3.7</f>
        <v>3.7</v>
      </c>
    </row>
    <row r="42" spans="1:26" ht="6" customHeight="1">
      <c r="A42" s="33"/>
      <c r="B42" s="15"/>
      <c r="C42" s="20"/>
      <c r="D42" s="21"/>
      <c r="E42" s="14"/>
      <c r="F42" s="19"/>
      <c r="G42" s="23"/>
      <c r="H42" s="61"/>
      <c r="I42" s="6"/>
      <c r="J42" s="6"/>
      <c r="K42" s="6"/>
      <c r="L42" s="6"/>
      <c r="M42" s="6"/>
      <c r="N42" s="6"/>
      <c r="O42" s="6"/>
      <c r="P42" s="6"/>
      <c r="Q42" s="6"/>
      <c r="R42" s="6"/>
      <c r="S42" s="9"/>
      <c r="T42" s="9"/>
      <c r="U42" s="9"/>
      <c r="V42" s="9"/>
      <c r="W42" s="9"/>
      <c r="X42" s="9"/>
      <c r="Y42" s="9"/>
      <c r="Z42" s="6"/>
    </row>
    <row r="43" spans="1:30" ht="19.5" customHeight="1" thickBot="1">
      <c r="A43" s="34"/>
      <c r="B43" s="78"/>
      <c r="C43" s="79"/>
      <c r="D43" s="80"/>
      <c r="E43" s="86"/>
      <c r="F43" s="80"/>
      <c r="G43" s="26" t="s">
        <v>60</v>
      </c>
      <c r="H43" s="35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2">
        <f>+$E41/7.5*1</f>
        <v>277611.3333333333</v>
      </c>
      <c r="T43" s="102">
        <f aca="true" t="shared" si="7" ref="T43:Y43">+$E41/7.5*1</f>
        <v>277611.3333333333</v>
      </c>
      <c r="U43" s="102">
        <f t="shared" si="7"/>
        <v>277611.3333333333</v>
      </c>
      <c r="V43" s="102">
        <f t="shared" si="7"/>
        <v>277611.3333333333</v>
      </c>
      <c r="W43" s="102">
        <f t="shared" si="7"/>
        <v>277611.3333333333</v>
      </c>
      <c r="X43" s="102">
        <f t="shared" si="7"/>
        <v>277611.3333333333</v>
      </c>
      <c r="Y43" s="102">
        <f t="shared" si="7"/>
        <v>277611.3333333333</v>
      </c>
      <c r="Z43" s="102">
        <f>+$E41/7.5*0.5</f>
        <v>138805.66666666666</v>
      </c>
      <c r="AA43" s="121">
        <v>0</v>
      </c>
      <c r="AB43" s="94">
        <f>SUM(H43:Z43)-E41</f>
        <v>0</v>
      </c>
      <c r="AC43" s="1">
        <v>0</v>
      </c>
      <c r="AD43" s="1">
        <f>+AC43*3.7</f>
        <v>0</v>
      </c>
    </row>
    <row r="44" spans="1:30" ht="19.5" customHeight="1">
      <c r="A44" s="54"/>
      <c r="B44" s="42" t="s">
        <v>23</v>
      </c>
      <c r="C44" s="81"/>
      <c r="D44" s="82"/>
      <c r="E44" s="83">
        <f>7560000+5040000</f>
        <v>12600000</v>
      </c>
      <c r="F44" s="76">
        <f>+E44/E$46</f>
        <v>0.075</v>
      </c>
      <c r="G44" s="113" t="s">
        <v>18</v>
      </c>
      <c r="H44" s="135">
        <f>(+H9+H13+H17+H20+H23+H26+H29+H32+H36+H39+H43)/(168000000-12600000)*$E44</f>
        <v>214656.91216216216</v>
      </c>
      <c r="I44" s="135">
        <f aca="true" t="shared" si="8" ref="I44:Z44">(+I9+I13+I17+I20+I23+I26+I29+I32+I36+I39+I43)/(168000000-12600000)*$E44</f>
        <v>434791.0540540541</v>
      </c>
      <c r="J44" s="135">
        <f t="shared" si="8"/>
        <v>224718.08108108107</v>
      </c>
      <c r="K44" s="135">
        <f t="shared" si="8"/>
        <v>224718.08108108107</v>
      </c>
      <c r="L44" s="135">
        <f t="shared" si="8"/>
        <v>224718.08108108107</v>
      </c>
      <c r="M44" s="135">
        <f t="shared" si="8"/>
        <v>224718.08108108107</v>
      </c>
      <c r="N44" s="135">
        <f t="shared" si="8"/>
        <v>283618.47972972976</v>
      </c>
      <c r="O44" s="135">
        <f t="shared" si="8"/>
        <v>556065.4459459459</v>
      </c>
      <c r="P44" s="135">
        <f t="shared" si="8"/>
        <v>1009538.9868725868</v>
      </c>
      <c r="Q44" s="135">
        <f t="shared" si="8"/>
        <v>1110511.8562419561</v>
      </c>
      <c r="R44" s="135">
        <f t="shared" si="8"/>
        <v>1460423.7283140284</v>
      </c>
      <c r="S44" s="135">
        <f t="shared" si="8"/>
        <v>1277079.3593951096</v>
      </c>
      <c r="T44" s="135">
        <f t="shared" si="8"/>
        <v>870159.8661518662</v>
      </c>
      <c r="U44" s="135">
        <f t="shared" si="8"/>
        <v>999418.2512870015</v>
      </c>
      <c r="V44" s="135">
        <f t="shared" si="8"/>
        <v>774414.0553410554</v>
      </c>
      <c r="W44" s="135">
        <f t="shared" si="8"/>
        <v>774414.0553410554</v>
      </c>
      <c r="X44" s="135">
        <f t="shared" si="8"/>
        <v>774414.0553410554</v>
      </c>
      <c r="Y44" s="135">
        <f t="shared" si="8"/>
        <v>774414.0553410554</v>
      </c>
      <c r="Z44" s="135">
        <f t="shared" si="8"/>
        <v>387207.51415701414</v>
      </c>
      <c r="AB44" s="94">
        <f>SUM(H44:Z44)-E44</f>
        <v>0</v>
      </c>
      <c r="AD44" s="1">
        <f>100/27</f>
        <v>3.7037037037037037</v>
      </c>
    </row>
    <row r="45" spans="1:26" ht="19.5" customHeight="1" thickBot="1">
      <c r="A45" s="55"/>
      <c r="B45" s="77"/>
      <c r="C45" s="47"/>
      <c r="D45" s="48"/>
      <c r="E45" s="49"/>
      <c r="F45" s="46"/>
      <c r="G45" s="112" t="s">
        <v>19</v>
      </c>
      <c r="H45" s="118">
        <f>+H44</f>
        <v>214656.91216216216</v>
      </c>
      <c r="I45" s="119">
        <f>+H45+I44</f>
        <v>649447.9662162162</v>
      </c>
      <c r="J45" s="119">
        <f aca="true" t="shared" si="9" ref="J45:Z45">+I45+J44</f>
        <v>874166.0472972973</v>
      </c>
      <c r="K45" s="119">
        <f t="shared" si="9"/>
        <v>1098884.1283783782</v>
      </c>
      <c r="L45" s="119">
        <f t="shared" si="9"/>
        <v>1323602.2094594594</v>
      </c>
      <c r="M45" s="119">
        <f t="shared" si="9"/>
        <v>1548320.2905405406</v>
      </c>
      <c r="N45" s="119">
        <f t="shared" si="9"/>
        <v>1831938.7702702703</v>
      </c>
      <c r="O45" s="119">
        <f t="shared" si="9"/>
        <v>2388004.2162162163</v>
      </c>
      <c r="P45" s="119">
        <f t="shared" si="9"/>
        <v>3397543.203088803</v>
      </c>
      <c r="Q45" s="119">
        <f t="shared" si="9"/>
        <v>4508055.05933076</v>
      </c>
      <c r="R45" s="119">
        <f t="shared" si="9"/>
        <v>5968478.787644788</v>
      </c>
      <c r="S45" s="119">
        <f t="shared" si="9"/>
        <v>7245558.147039898</v>
      </c>
      <c r="T45" s="119">
        <f t="shared" si="9"/>
        <v>8115718.013191764</v>
      </c>
      <c r="U45" s="119">
        <f t="shared" si="9"/>
        <v>9115136.264478765</v>
      </c>
      <c r="V45" s="119">
        <f t="shared" si="9"/>
        <v>9889550.319819821</v>
      </c>
      <c r="W45" s="119">
        <f t="shared" si="9"/>
        <v>10663964.375160877</v>
      </c>
      <c r="X45" s="119">
        <f t="shared" si="9"/>
        <v>11438378.430501932</v>
      </c>
      <c r="Y45" s="119">
        <f t="shared" si="9"/>
        <v>12212792.485842988</v>
      </c>
      <c r="Z45" s="119">
        <f t="shared" si="9"/>
        <v>12600000.000000002</v>
      </c>
    </row>
    <row r="46" spans="1:28" ht="19.5" customHeight="1">
      <c r="A46" s="137"/>
      <c r="B46" s="138" t="s">
        <v>49</v>
      </c>
      <c r="C46" s="139"/>
      <c r="D46" s="140"/>
      <c r="E46" s="141">
        <f>SUM(E6:E45)</f>
        <v>168000000</v>
      </c>
      <c r="F46" s="142">
        <f>+E46/E$46</f>
        <v>1</v>
      </c>
      <c r="G46" s="143" t="s">
        <v>18</v>
      </c>
      <c r="H46" s="130">
        <f>+H9+H13+H17+H20+H23+H26+H29+H32+H36+H39+H43+H44</f>
        <v>2862092.1621621624</v>
      </c>
      <c r="I46" s="130">
        <f aca="true" t="shared" si="10" ref="I46:Z46">+I9+I13+I17+I20+I23+I26+I29+I32+I36+I39+I43+I44</f>
        <v>5797214.054054054</v>
      </c>
      <c r="J46" s="130">
        <f t="shared" si="10"/>
        <v>2996241.081081081</v>
      </c>
      <c r="K46" s="130">
        <f t="shared" si="10"/>
        <v>2996241.081081081</v>
      </c>
      <c r="L46" s="130">
        <f t="shared" si="10"/>
        <v>2996241.081081081</v>
      </c>
      <c r="M46" s="130">
        <f t="shared" si="10"/>
        <v>2996241.081081081</v>
      </c>
      <c r="N46" s="130">
        <f t="shared" si="10"/>
        <v>3781579.7297297297</v>
      </c>
      <c r="O46" s="130">
        <f t="shared" si="10"/>
        <v>7414205.945945946</v>
      </c>
      <c r="P46" s="130">
        <f t="shared" si="10"/>
        <v>13460519.824967824</v>
      </c>
      <c r="Q46" s="130">
        <f t="shared" si="10"/>
        <v>14806824.749892749</v>
      </c>
      <c r="R46" s="130">
        <f t="shared" si="10"/>
        <v>19472316.37752038</v>
      </c>
      <c r="S46" s="130">
        <f t="shared" si="10"/>
        <v>17027724.791934796</v>
      </c>
      <c r="T46" s="130">
        <f t="shared" si="10"/>
        <v>11602131.548691548</v>
      </c>
      <c r="U46" s="130">
        <f t="shared" si="10"/>
        <v>13325576.683826687</v>
      </c>
      <c r="V46" s="130">
        <f t="shared" si="10"/>
        <v>10325520.737880738</v>
      </c>
      <c r="W46" s="130">
        <f t="shared" si="10"/>
        <v>10325520.737880738</v>
      </c>
      <c r="X46" s="130">
        <f t="shared" si="10"/>
        <v>10325520.737880738</v>
      </c>
      <c r="Y46" s="130">
        <f t="shared" si="10"/>
        <v>10325520.737880738</v>
      </c>
      <c r="Z46" s="130">
        <f t="shared" si="10"/>
        <v>5162766.855426855</v>
      </c>
      <c r="AB46" s="94">
        <f>SUM(H46:Z46)-E46</f>
        <v>0</v>
      </c>
    </row>
    <row r="47" spans="1:26" ht="19.5" customHeight="1" thickBot="1">
      <c r="A47" s="144"/>
      <c r="B47" s="145"/>
      <c r="C47" s="146"/>
      <c r="D47" s="147"/>
      <c r="E47" s="148"/>
      <c r="F47" s="149"/>
      <c r="G47" s="150" t="s">
        <v>19</v>
      </c>
      <c r="H47" s="132">
        <f>+H46</f>
        <v>2862092.1621621624</v>
      </c>
      <c r="I47" s="133">
        <f>+H47+I46</f>
        <v>8659306.216216218</v>
      </c>
      <c r="J47" s="133">
        <f aca="true" t="shared" si="11" ref="J47:Z47">+I47+J46</f>
        <v>11655547.297297299</v>
      </c>
      <c r="K47" s="133">
        <f t="shared" si="11"/>
        <v>14651788.37837838</v>
      </c>
      <c r="L47" s="133">
        <f t="shared" si="11"/>
        <v>17648029.45945946</v>
      </c>
      <c r="M47" s="133">
        <f t="shared" si="11"/>
        <v>20644270.540540542</v>
      </c>
      <c r="N47" s="133">
        <f t="shared" si="11"/>
        <v>24425850.270270273</v>
      </c>
      <c r="O47" s="133">
        <f t="shared" si="11"/>
        <v>31840056.216216218</v>
      </c>
      <c r="P47" s="133">
        <f t="shared" si="11"/>
        <v>45300576.04118404</v>
      </c>
      <c r="Q47" s="133">
        <f t="shared" si="11"/>
        <v>60107400.79107679</v>
      </c>
      <c r="R47" s="133">
        <f t="shared" si="11"/>
        <v>79579717.16859716</v>
      </c>
      <c r="S47" s="133">
        <f t="shared" si="11"/>
        <v>96607441.96053195</v>
      </c>
      <c r="T47" s="133">
        <f t="shared" si="11"/>
        <v>108209573.50922349</v>
      </c>
      <c r="U47" s="133">
        <f t="shared" si="11"/>
        <v>121535150.19305018</v>
      </c>
      <c r="V47" s="133">
        <f t="shared" si="11"/>
        <v>131860670.93093091</v>
      </c>
      <c r="W47" s="133">
        <f t="shared" si="11"/>
        <v>142186191.66881165</v>
      </c>
      <c r="X47" s="133">
        <f t="shared" si="11"/>
        <v>152511712.4066924</v>
      </c>
      <c r="Y47" s="133">
        <f t="shared" si="11"/>
        <v>162837233.14457312</v>
      </c>
      <c r="Z47" s="133">
        <f t="shared" si="11"/>
        <v>167999999.99999997</v>
      </c>
    </row>
    <row r="48" spans="1:26" ht="19.5" customHeight="1">
      <c r="A48" s="56"/>
      <c r="B48" s="40" t="s">
        <v>50</v>
      </c>
      <c r="C48" s="51"/>
      <c r="D48" s="44"/>
      <c r="E48" s="44"/>
      <c r="F48" s="44"/>
      <c r="G48" s="111" t="s">
        <v>18</v>
      </c>
      <c r="H48" s="135">
        <v>0</v>
      </c>
      <c r="I48" s="135">
        <v>6753858.7</v>
      </c>
      <c r="J48" s="135">
        <v>3916065.31</v>
      </c>
      <c r="K48" s="135">
        <v>8384739.37</v>
      </c>
      <c r="L48" s="135">
        <v>3916302.85</v>
      </c>
      <c r="M48" s="135">
        <v>3971350.35</v>
      </c>
      <c r="N48" s="135">
        <v>5768012.95</v>
      </c>
      <c r="O48" s="135">
        <v>5513215.5</v>
      </c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6"/>
    </row>
    <row r="49" spans="1:26" ht="19.5" customHeight="1" thickBot="1">
      <c r="A49" s="57"/>
      <c r="B49" s="41"/>
      <c r="C49" s="52"/>
      <c r="D49" s="45"/>
      <c r="E49" s="45"/>
      <c r="F49" s="45"/>
      <c r="G49" s="48" t="s">
        <v>19</v>
      </c>
      <c r="H49" s="62">
        <f>+H48</f>
        <v>0</v>
      </c>
      <c r="I49" s="63">
        <f aca="true" t="shared" si="12" ref="I49:O49">+H49+I48</f>
        <v>6753858.7</v>
      </c>
      <c r="J49" s="63">
        <f t="shared" si="12"/>
        <v>10669924.01</v>
      </c>
      <c r="K49" s="63">
        <f t="shared" si="12"/>
        <v>19054663.38</v>
      </c>
      <c r="L49" s="63">
        <f t="shared" si="12"/>
        <v>22970966.23</v>
      </c>
      <c r="M49" s="63">
        <f t="shared" si="12"/>
        <v>26942316.580000002</v>
      </c>
      <c r="N49" s="63">
        <f t="shared" si="12"/>
        <v>32710329.53</v>
      </c>
      <c r="O49" s="63">
        <f t="shared" si="12"/>
        <v>38223545.03</v>
      </c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96"/>
    </row>
    <row r="50" spans="1:26" ht="19.5" customHeight="1">
      <c r="A50" s="155"/>
      <c r="B50" s="156" t="s">
        <v>51</v>
      </c>
      <c r="C50" s="157"/>
      <c r="D50" s="158"/>
      <c r="E50" s="158"/>
      <c r="F50" s="158"/>
      <c r="G50" s="159" t="s">
        <v>18</v>
      </c>
      <c r="H50" s="131">
        <f>+H46/$E46*100</f>
        <v>1.703626287001287</v>
      </c>
      <c r="I50" s="131">
        <f aca="true" t="shared" si="13" ref="I50:Z50">+I46/$E46*100</f>
        <v>3.450722651222651</v>
      </c>
      <c r="J50" s="131">
        <f t="shared" si="13"/>
        <v>1.7834768339768339</v>
      </c>
      <c r="K50" s="131">
        <f t="shared" si="13"/>
        <v>1.7834768339768339</v>
      </c>
      <c r="L50" s="131">
        <f t="shared" si="13"/>
        <v>1.7834768339768339</v>
      </c>
      <c r="M50" s="131">
        <f t="shared" si="13"/>
        <v>1.7834768339768339</v>
      </c>
      <c r="N50" s="131">
        <f t="shared" si="13"/>
        <v>2.2509403153153156</v>
      </c>
      <c r="O50" s="131">
        <f t="shared" si="13"/>
        <v>4.413217824967824</v>
      </c>
      <c r="P50" s="131">
        <f t="shared" si="13"/>
        <v>8.012214181528467</v>
      </c>
      <c r="Q50" s="131">
        <f t="shared" si="13"/>
        <v>8.813586160650445</v>
      </c>
      <c r="R50" s="131">
        <f t="shared" si="13"/>
        <v>11.590664510428796</v>
      </c>
      <c r="S50" s="131">
        <f t="shared" si="13"/>
        <v>10.13555047138976</v>
      </c>
      <c r="T50" s="131">
        <f t="shared" si="13"/>
        <v>6.906030683744969</v>
      </c>
      <c r="U50" s="131">
        <f t="shared" si="13"/>
        <v>7.931890883230171</v>
      </c>
      <c r="V50" s="131">
        <f t="shared" si="13"/>
        <v>6.146143296357582</v>
      </c>
      <c r="W50" s="131">
        <f t="shared" si="13"/>
        <v>6.146143296357582</v>
      </c>
      <c r="X50" s="131">
        <f t="shared" si="13"/>
        <v>6.146143296357582</v>
      </c>
      <c r="Y50" s="131">
        <f t="shared" si="13"/>
        <v>6.146143296357582</v>
      </c>
      <c r="Z50" s="131">
        <f t="shared" si="13"/>
        <v>3.0730755091826523</v>
      </c>
    </row>
    <row r="51" spans="1:26" ht="19.5" customHeight="1" thickBot="1">
      <c r="A51" s="151"/>
      <c r="B51" s="152"/>
      <c r="C51" s="153"/>
      <c r="D51" s="154"/>
      <c r="E51" s="154"/>
      <c r="F51" s="154"/>
      <c r="G51" s="147" t="s">
        <v>19</v>
      </c>
      <c r="H51" s="134">
        <f>+H50</f>
        <v>1.703626287001287</v>
      </c>
      <c r="I51" s="134">
        <f>+H51+I50</f>
        <v>5.154348938223938</v>
      </c>
      <c r="J51" s="134">
        <f aca="true" t="shared" si="14" ref="J51:Z51">+I51+J50</f>
        <v>6.937825772200772</v>
      </c>
      <c r="K51" s="134">
        <f t="shared" si="14"/>
        <v>8.721302606177606</v>
      </c>
      <c r="L51" s="134">
        <f t="shared" si="14"/>
        <v>10.50477944015444</v>
      </c>
      <c r="M51" s="134">
        <f t="shared" si="14"/>
        <v>12.288256274131275</v>
      </c>
      <c r="N51" s="134">
        <f t="shared" si="14"/>
        <v>14.53919658944659</v>
      </c>
      <c r="O51" s="134">
        <f t="shared" si="14"/>
        <v>18.952414414414413</v>
      </c>
      <c r="P51" s="134">
        <f t="shared" si="14"/>
        <v>26.96462859594288</v>
      </c>
      <c r="Q51" s="134">
        <f t="shared" si="14"/>
        <v>35.77821475659333</v>
      </c>
      <c r="R51" s="134">
        <f t="shared" si="14"/>
        <v>47.36887926702212</v>
      </c>
      <c r="S51" s="134">
        <f t="shared" si="14"/>
        <v>57.504429738411886</v>
      </c>
      <c r="T51" s="134">
        <f t="shared" si="14"/>
        <v>64.41046042215686</v>
      </c>
      <c r="U51" s="134">
        <f t="shared" si="14"/>
        <v>72.34235130538703</v>
      </c>
      <c r="V51" s="134">
        <f t="shared" si="14"/>
        <v>78.4884946017446</v>
      </c>
      <c r="W51" s="134">
        <f t="shared" si="14"/>
        <v>84.63463789810218</v>
      </c>
      <c r="X51" s="134">
        <f t="shared" si="14"/>
        <v>90.78078119445976</v>
      </c>
      <c r="Y51" s="134">
        <f t="shared" si="14"/>
        <v>96.92692449081734</v>
      </c>
      <c r="Z51" s="134">
        <f t="shared" si="14"/>
        <v>100</v>
      </c>
    </row>
    <row r="52" spans="1:26" ht="19.5" customHeight="1">
      <c r="A52" s="56"/>
      <c r="B52" s="40" t="s">
        <v>24</v>
      </c>
      <c r="C52" s="51"/>
      <c r="D52" s="44"/>
      <c r="E52" s="44"/>
      <c r="F52" s="44"/>
      <c r="G52" s="111" t="s">
        <v>18</v>
      </c>
      <c r="H52" s="116">
        <f aca="true" t="shared" si="15" ref="H52:M52">+H48/$E46*100</f>
        <v>0</v>
      </c>
      <c r="I52" s="116">
        <f t="shared" si="15"/>
        <v>4.020153988095238</v>
      </c>
      <c r="J52" s="116">
        <f t="shared" si="15"/>
        <v>2.330991255952381</v>
      </c>
      <c r="K52" s="116">
        <f t="shared" si="15"/>
        <v>4.990916291666666</v>
      </c>
      <c r="L52" s="116">
        <f t="shared" si="15"/>
        <v>2.3311326488095236</v>
      </c>
      <c r="M52" s="116">
        <f t="shared" si="15"/>
        <v>2.363899017857143</v>
      </c>
      <c r="N52" s="116">
        <f>+N48/$E46*100</f>
        <v>3.433341041666667</v>
      </c>
      <c r="O52" s="116">
        <f>+O48/$E46*100</f>
        <v>3.281675892857143</v>
      </c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7"/>
    </row>
    <row r="53" spans="1:26" ht="19.5" customHeight="1" thickBot="1">
      <c r="A53" s="57"/>
      <c r="B53" s="43"/>
      <c r="C53" s="45"/>
      <c r="D53" s="45"/>
      <c r="E53" s="45"/>
      <c r="F53" s="46"/>
      <c r="G53" s="48" t="s">
        <v>19</v>
      </c>
      <c r="H53" s="114">
        <f>+H52</f>
        <v>0</v>
      </c>
      <c r="I53" s="115">
        <f aca="true" t="shared" si="16" ref="I53:O53">+H53+I52</f>
        <v>4.020153988095238</v>
      </c>
      <c r="J53" s="115">
        <f t="shared" si="16"/>
        <v>6.351145244047619</v>
      </c>
      <c r="K53" s="115">
        <f t="shared" si="16"/>
        <v>11.342061535714286</v>
      </c>
      <c r="L53" s="115">
        <f t="shared" si="16"/>
        <v>13.67319418452381</v>
      </c>
      <c r="M53" s="115">
        <f t="shared" si="16"/>
        <v>16.03709320238095</v>
      </c>
      <c r="N53" s="115">
        <f t="shared" si="16"/>
        <v>19.470434244047617</v>
      </c>
      <c r="O53" s="115">
        <f t="shared" si="16"/>
        <v>22.75211013690476</v>
      </c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7" s="2" customFormat="1" ht="25.5" customHeight="1" thickBot="1">
      <c r="A54" s="58"/>
      <c r="B54" s="39" t="s">
        <v>25</v>
      </c>
      <c r="C54" s="53"/>
      <c r="D54" s="50"/>
      <c r="E54" s="50"/>
      <c r="F54" s="50"/>
      <c r="G54" s="50"/>
      <c r="H54" s="99">
        <f aca="true" t="shared" si="17" ref="H54:O54">+H53-H51</f>
        <v>-1.703626287001287</v>
      </c>
      <c r="I54" s="59">
        <f t="shared" si="17"/>
        <v>-1.1341949501287</v>
      </c>
      <c r="J54" s="59">
        <f t="shared" si="17"/>
        <v>-0.5866805281531526</v>
      </c>
      <c r="K54" s="59">
        <f t="shared" si="17"/>
        <v>2.620758929536681</v>
      </c>
      <c r="L54" s="59">
        <f t="shared" si="17"/>
        <v>3.16841474436937</v>
      </c>
      <c r="M54" s="59">
        <f t="shared" si="17"/>
        <v>3.748836928249677</v>
      </c>
      <c r="N54" s="59">
        <f t="shared" si="17"/>
        <v>4.931237654601027</v>
      </c>
      <c r="O54" s="59">
        <f t="shared" si="17"/>
        <v>3.7996957224903483</v>
      </c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120"/>
    </row>
    <row r="55" spans="1:27" s="2" customFormat="1" ht="25.5" customHeight="1" thickBot="1">
      <c r="A55" s="58"/>
      <c r="B55" s="39" t="s">
        <v>26</v>
      </c>
      <c r="C55" s="53"/>
      <c r="D55" s="50"/>
      <c r="E55" s="50"/>
      <c r="F55" s="50"/>
      <c r="G55" s="50"/>
      <c r="H55" s="160">
        <f aca="true" t="shared" si="18" ref="H55:M55">+H5*30/$S3*100</f>
        <v>5.454545454545454</v>
      </c>
      <c r="I55" s="160">
        <f t="shared" si="18"/>
        <v>10.909090909090908</v>
      </c>
      <c r="J55" s="160">
        <f t="shared" si="18"/>
        <v>16.363636363636363</v>
      </c>
      <c r="K55" s="160">
        <f t="shared" si="18"/>
        <v>21.818181818181817</v>
      </c>
      <c r="L55" s="160">
        <f t="shared" si="18"/>
        <v>27.27272727272727</v>
      </c>
      <c r="M55" s="160">
        <f t="shared" si="18"/>
        <v>32.72727272727273</v>
      </c>
      <c r="N55" s="160">
        <f>+N5*30/$S3*100</f>
        <v>38.18181818181819</v>
      </c>
      <c r="O55" s="160">
        <f>+O5*30/$S3*100</f>
        <v>43.63636363636363</v>
      </c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20"/>
    </row>
    <row r="56" spans="2:5" ht="12.75">
      <c r="B56" s="4"/>
      <c r="C56" s="4"/>
      <c r="D56" s="4"/>
      <c r="E56" s="4"/>
    </row>
    <row r="57" spans="2:8" ht="19.5" customHeight="1" thickBot="1">
      <c r="B57" s="11" t="s">
        <v>20</v>
      </c>
      <c r="C57" s="4"/>
      <c r="D57" s="4"/>
      <c r="E57" s="12" t="s">
        <v>27</v>
      </c>
      <c r="H57" s="12" t="s">
        <v>16</v>
      </c>
    </row>
    <row r="58" spans="2:26" ht="15.75">
      <c r="B58" s="4"/>
      <c r="C58" s="4"/>
      <c r="D58" s="4"/>
      <c r="E58" s="105" t="s">
        <v>61</v>
      </c>
      <c r="F58" s="161" t="s">
        <v>61</v>
      </c>
      <c r="G58" s="106">
        <v>38533</v>
      </c>
      <c r="H58" s="106">
        <v>38563</v>
      </c>
      <c r="I58" s="107">
        <v>38594</v>
      </c>
      <c r="J58" s="107">
        <v>38625</v>
      </c>
      <c r="K58" s="107">
        <v>38655</v>
      </c>
      <c r="L58" s="107">
        <v>38686</v>
      </c>
      <c r="M58" s="108">
        <v>38716</v>
      </c>
      <c r="N58" s="109">
        <v>38747</v>
      </c>
      <c r="O58" s="107">
        <v>38776</v>
      </c>
      <c r="P58" s="107">
        <v>38806</v>
      </c>
      <c r="Q58" s="107">
        <v>38837</v>
      </c>
      <c r="R58" s="107">
        <v>38867</v>
      </c>
      <c r="S58" s="107">
        <v>38898</v>
      </c>
      <c r="T58" s="107">
        <v>38928</v>
      </c>
      <c r="U58" s="107">
        <v>38959</v>
      </c>
      <c r="V58" s="107">
        <v>38990</v>
      </c>
      <c r="W58" s="107">
        <v>39020</v>
      </c>
      <c r="X58" s="107">
        <v>39051</v>
      </c>
      <c r="Y58" s="108">
        <v>39081</v>
      </c>
      <c r="Z58" s="109">
        <v>39112</v>
      </c>
    </row>
    <row r="59" spans="2:26" ht="12.75">
      <c r="B59" s="4"/>
      <c r="C59" s="4"/>
      <c r="D59" s="4"/>
      <c r="E59" s="105" t="s">
        <v>58</v>
      </c>
      <c r="F59" s="161" t="s">
        <v>58</v>
      </c>
      <c r="G59" s="105">
        <v>0</v>
      </c>
      <c r="H59" s="110">
        <f aca="true" t="shared" si="19" ref="H59:Z59">+H46</f>
        <v>2862092.1621621624</v>
      </c>
      <c r="I59" s="110">
        <f t="shared" si="19"/>
        <v>5797214.054054054</v>
      </c>
      <c r="J59" s="110">
        <f t="shared" si="19"/>
        <v>2996241.081081081</v>
      </c>
      <c r="K59" s="110">
        <f t="shared" si="19"/>
        <v>2996241.081081081</v>
      </c>
      <c r="L59" s="110">
        <f t="shared" si="19"/>
        <v>2996241.081081081</v>
      </c>
      <c r="M59" s="110">
        <f t="shared" si="19"/>
        <v>2996241.081081081</v>
      </c>
      <c r="N59" s="110">
        <f t="shared" si="19"/>
        <v>3781579.7297297297</v>
      </c>
      <c r="O59" s="110">
        <f t="shared" si="19"/>
        <v>7414205.945945946</v>
      </c>
      <c r="P59" s="110">
        <f t="shared" si="19"/>
        <v>13460519.824967824</v>
      </c>
      <c r="Q59" s="110">
        <f t="shared" si="19"/>
        <v>14806824.749892749</v>
      </c>
      <c r="R59" s="110">
        <f t="shared" si="19"/>
        <v>19472316.37752038</v>
      </c>
      <c r="S59" s="110">
        <f t="shared" si="19"/>
        <v>17027724.791934796</v>
      </c>
      <c r="T59" s="110">
        <f t="shared" si="19"/>
        <v>11602131.548691548</v>
      </c>
      <c r="U59" s="110">
        <f t="shared" si="19"/>
        <v>13325576.683826687</v>
      </c>
      <c r="V59" s="110">
        <f t="shared" si="19"/>
        <v>10325520.737880738</v>
      </c>
      <c r="W59" s="110">
        <f t="shared" si="19"/>
        <v>10325520.737880738</v>
      </c>
      <c r="X59" s="110">
        <f t="shared" si="19"/>
        <v>10325520.737880738</v>
      </c>
      <c r="Y59" s="110">
        <f t="shared" si="19"/>
        <v>10325520.737880738</v>
      </c>
      <c r="Z59" s="110">
        <f t="shared" si="19"/>
        <v>5162766.855426855</v>
      </c>
    </row>
    <row r="60" spans="2:26" ht="12.75">
      <c r="B60" s="4"/>
      <c r="C60" s="4"/>
      <c r="D60" s="4"/>
      <c r="E60" s="105" t="s">
        <v>59</v>
      </c>
      <c r="F60" s="161" t="s">
        <v>59</v>
      </c>
      <c r="G60" s="110">
        <v>0</v>
      </c>
      <c r="H60" s="110">
        <f>+H48</f>
        <v>0</v>
      </c>
      <c r="I60" s="110">
        <f>+I48</f>
        <v>6753858.7</v>
      </c>
      <c r="J60" s="110">
        <f>+J48</f>
        <v>3916065.31</v>
      </c>
      <c r="K60" s="110">
        <f>+K48</f>
        <v>8384739.37</v>
      </c>
      <c r="L60" s="110">
        <f>L48</f>
        <v>3916302.85</v>
      </c>
      <c r="M60" s="110">
        <f>M48</f>
        <v>3971350.35</v>
      </c>
      <c r="N60" s="110">
        <f>N48</f>
        <v>5768012.95</v>
      </c>
      <c r="O60" s="110">
        <f>O48</f>
        <v>5513215.5</v>
      </c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spans="2:26" ht="12.75">
      <c r="B61" s="4"/>
      <c r="C61" s="4"/>
      <c r="D61" s="4"/>
      <c r="E61" s="105" t="s">
        <v>62</v>
      </c>
      <c r="F61" s="161" t="s">
        <v>62</v>
      </c>
      <c r="G61" s="110">
        <f>+G59</f>
        <v>0</v>
      </c>
      <c r="H61" s="110">
        <f>+H59</f>
        <v>2862092.1621621624</v>
      </c>
      <c r="I61" s="110">
        <f>+H61+I59</f>
        <v>8659306.216216218</v>
      </c>
      <c r="J61" s="110">
        <f aca="true" t="shared" si="20" ref="J61:Z61">+I61+J59</f>
        <v>11655547.297297299</v>
      </c>
      <c r="K61" s="110">
        <f>+J61+K59</f>
        <v>14651788.37837838</v>
      </c>
      <c r="L61" s="110">
        <f t="shared" si="20"/>
        <v>17648029.45945946</v>
      </c>
      <c r="M61" s="110">
        <f t="shared" si="20"/>
        <v>20644270.540540542</v>
      </c>
      <c r="N61" s="110">
        <f t="shared" si="20"/>
        <v>24425850.270270273</v>
      </c>
      <c r="O61" s="110">
        <f t="shared" si="20"/>
        <v>31840056.216216218</v>
      </c>
      <c r="P61" s="110">
        <f t="shared" si="20"/>
        <v>45300576.04118404</v>
      </c>
      <c r="Q61" s="110">
        <f t="shared" si="20"/>
        <v>60107400.79107679</v>
      </c>
      <c r="R61" s="110">
        <f t="shared" si="20"/>
        <v>79579717.16859716</v>
      </c>
      <c r="S61" s="110">
        <f t="shared" si="20"/>
        <v>96607441.96053195</v>
      </c>
      <c r="T61" s="110">
        <f t="shared" si="20"/>
        <v>108209573.50922349</v>
      </c>
      <c r="U61" s="110">
        <f t="shared" si="20"/>
        <v>121535150.19305018</v>
      </c>
      <c r="V61" s="110">
        <f t="shared" si="20"/>
        <v>131860670.93093091</v>
      </c>
      <c r="W61" s="110">
        <f t="shared" si="20"/>
        <v>142186191.66881165</v>
      </c>
      <c r="X61" s="110">
        <f t="shared" si="20"/>
        <v>152511712.4066924</v>
      </c>
      <c r="Y61" s="110">
        <f t="shared" si="20"/>
        <v>162837233.14457312</v>
      </c>
      <c r="Z61" s="110">
        <f t="shared" si="20"/>
        <v>167999999.99999997</v>
      </c>
    </row>
    <row r="62" spans="2:26" ht="12.75">
      <c r="B62" s="4"/>
      <c r="C62" s="4"/>
      <c r="D62" s="4"/>
      <c r="E62" s="105" t="s">
        <v>63</v>
      </c>
      <c r="F62" s="161" t="s">
        <v>63</v>
      </c>
      <c r="G62" s="110">
        <f>+G60</f>
        <v>0</v>
      </c>
      <c r="H62" s="110">
        <f>+H60</f>
        <v>0</v>
      </c>
      <c r="I62" s="110">
        <f>+H62+I60</f>
        <v>6753858.7</v>
      </c>
      <c r="J62" s="110">
        <f>+I62+J60</f>
        <v>10669924.01</v>
      </c>
      <c r="K62" s="110">
        <f>+J62+K60</f>
        <v>19054663.38</v>
      </c>
      <c r="L62" s="110">
        <f>+K62+L60</f>
        <v>22970966.23</v>
      </c>
      <c r="M62" s="110">
        <f>+L62+M60</f>
        <v>26942316.580000002</v>
      </c>
      <c r="N62" s="110">
        <f>+M62+N60</f>
        <v>32710329.53</v>
      </c>
      <c r="O62" s="110">
        <f>+N62+O60</f>
        <v>38223545.03</v>
      </c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ht="12.75">
      <c r="E74" s="4"/>
    </row>
    <row r="75" ht="12.75">
      <c r="E75" s="4"/>
    </row>
    <row r="76" ht="12.75">
      <c r="E76" s="4"/>
    </row>
    <row r="77" ht="12.75">
      <c r="E77" s="4"/>
    </row>
    <row r="78" ht="12.75">
      <c r="E78" s="4"/>
    </row>
    <row r="79" ht="12.75">
      <c r="E79" s="4"/>
    </row>
    <row r="80" ht="12.75">
      <c r="E80" s="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  <row r="101" ht="12.75">
      <c r="E101" s="4"/>
    </row>
    <row r="102" ht="12.75">
      <c r="E102" s="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  <row r="129" ht="12.75">
      <c r="E129" s="4"/>
    </row>
    <row r="130" ht="12.75">
      <c r="E130" s="4"/>
    </row>
    <row r="131" ht="12.75">
      <c r="E131" s="4"/>
    </row>
    <row r="132" ht="12.75">
      <c r="E132" s="4"/>
    </row>
    <row r="133" ht="12.75">
      <c r="E133" s="4"/>
    </row>
    <row r="134" ht="12.75">
      <c r="E134" s="4"/>
    </row>
    <row r="135" ht="12.75">
      <c r="E135" s="4"/>
    </row>
    <row r="136" ht="12.75">
      <c r="E136" s="4"/>
    </row>
    <row r="137" ht="12.75">
      <c r="E137" s="4"/>
    </row>
    <row r="138" ht="12.75">
      <c r="E138" s="4"/>
    </row>
    <row r="139" ht="12.75">
      <c r="E139" s="4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  <row r="144" ht="12.75">
      <c r="E144" s="4"/>
    </row>
    <row r="145" ht="12.75">
      <c r="E145" s="4"/>
    </row>
    <row r="146" ht="12.75">
      <c r="E146" s="4"/>
    </row>
    <row r="147" ht="12.75">
      <c r="E147" s="4"/>
    </row>
    <row r="148" ht="12.75">
      <c r="E148" s="4"/>
    </row>
    <row r="149" ht="12.75">
      <c r="E149" s="4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</sheetData>
  <sheetProtection/>
  <printOptions/>
  <pageMargins left="0.35433070866141736" right="0" top="0.5905511811023623" bottom="0.3937007874015748" header="0.31496062992125984" footer="0.11811023622047245"/>
  <pageSetup horizontalDpi="600" verticalDpi="600" orientation="landscape" paperSize="9" scale="43" r:id="rId2"/>
  <headerFooter alignWithMargins="0">
    <oddFooter>&amp;C&amp;8&amp;F/&amp;A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5"/>
  <sheetViews>
    <sheetView zoomScale="75" zoomScaleNormal="75" zoomScalePageLayoutView="0" workbookViewId="0" topLeftCell="A37">
      <selection activeCell="H68" sqref="H68"/>
    </sheetView>
  </sheetViews>
  <sheetFormatPr defaultColWidth="9.140625" defaultRowHeight="12.75"/>
  <cols>
    <col min="1" max="1" width="5.7109375" style="1" customWidth="1"/>
    <col min="2" max="2" width="36.421875" style="1" customWidth="1"/>
    <col min="3" max="4" width="6.57421875" style="1" customWidth="1"/>
    <col min="5" max="5" width="18.8515625" style="1" customWidth="1"/>
    <col min="6" max="6" width="9.7109375" style="1" customWidth="1"/>
    <col min="7" max="7" width="14.7109375" style="1" customWidth="1"/>
    <col min="8" max="26" width="12.140625" style="1" customWidth="1"/>
    <col min="27" max="27" width="6.421875" style="120" customWidth="1"/>
    <col min="28" max="28" width="12.7109375" style="1" customWidth="1"/>
    <col min="29" max="29" width="18.28125" style="1" customWidth="1"/>
    <col min="30" max="16384" width="9.140625" style="1" customWidth="1"/>
  </cols>
  <sheetData>
    <row r="1" spans="2:27" s="3" customFormat="1" ht="21" customHeight="1">
      <c r="B1" s="70" t="s">
        <v>57</v>
      </c>
      <c r="E1" s="67"/>
      <c r="F1" s="36"/>
      <c r="I1" s="60"/>
      <c r="J1" s="17"/>
      <c r="N1" s="92" t="s">
        <v>56</v>
      </c>
      <c r="O1" s="92"/>
      <c r="X1" s="38"/>
      <c r="Y1" s="87"/>
      <c r="Z1" s="91" t="s">
        <v>55</v>
      </c>
      <c r="AA1" s="120"/>
    </row>
    <row r="2" spans="2:27" s="3" customFormat="1" ht="21" customHeight="1">
      <c r="B2" s="70"/>
      <c r="E2" s="67"/>
      <c r="F2" s="36"/>
      <c r="I2" s="60"/>
      <c r="J2" s="17"/>
      <c r="O2" s="92"/>
      <c r="X2" s="38"/>
      <c r="Y2" s="87"/>
      <c r="Z2" s="91"/>
      <c r="AA2" s="120"/>
    </row>
    <row r="3" spans="2:27" s="3" customFormat="1" ht="21" customHeight="1" thickBot="1">
      <c r="B3" s="69" t="s">
        <v>3</v>
      </c>
      <c r="E3" s="68">
        <v>168000000</v>
      </c>
      <c r="F3" s="17" t="s">
        <v>4</v>
      </c>
      <c r="G3" s="37" t="s">
        <v>22</v>
      </c>
      <c r="I3" s="3" t="s">
        <v>52</v>
      </c>
      <c r="K3" s="67">
        <v>39278</v>
      </c>
      <c r="L3" s="17"/>
      <c r="M3" s="3" t="s">
        <v>2</v>
      </c>
      <c r="O3" s="67">
        <v>39827</v>
      </c>
      <c r="Q3" s="3" t="s">
        <v>0</v>
      </c>
      <c r="S3" s="60">
        <f>+O3-K3+1</f>
        <v>550</v>
      </c>
      <c r="T3" s="17" t="s">
        <v>1</v>
      </c>
      <c r="V3" s="87"/>
      <c r="W3" s="87" t="s">
        <v>53</v>
      </c>
      <c r="X3" s="88">
        <v>0</v>
      </c>
      <c r="Y3" s="89" t="s">
        <v>54</v>
      </c>
      <c r="Z3" s="90">
        <f ca="1">NOW()</f>
        <v>40004.72575914352</v>
      </c>
      <c r="AA3" s="120"/>
    </row>
    <row r="4" spans="1:27" s="3" customFormat="1" ht="18.75" customHeight="1" thickBot="1">
      <c r="A4" s="122" t="s">
        <v>5</v>
      </c>
      <c r="B4" s="123" t="s">
        <v>6</v>
      </c>
      <c r="C4" s="124" t="s">
        <v>7</v>
      </c>
      <c r="D4" s="124" t="s">
        <v>8</v>
      </c>
      <c r="E4" s="123" t="s">
        <v>9</v>
      </c>
      <c r="F4" s="123" t="s">
        <v>10</v>
      </c>
      <c r="G4" s="125" t="s">
        <v>15</v>
      </c>
      <c r="H4" s="64">
        <v>39293</v>
      </c>
      <c r="I4" s="65">
        <v>39324</v>
      </c>
      <c r="J4" s="65">
        <v>39355</v>
      </c>
      <c r="K4" s="65">
        <v>39385</v>
      </c>
      <c r="L4" s="65">
        <v>39416</v>
      </c>
      <c r="M4" s="66">
        <v>39446</v>
      </c>
      <c r="N4" s="64">
        <v>39477</v>
      </c>
      <c r="O4" s="65">
        <v>39506</v>
      </c>
      <c r="P4" s="65">
        <v>39537</v>
      </c>
      <c r="Q4" s="65">
        <v>39568</v>
      </c>
      <c r="R4" s="65">
        <v>39598</v>
      </c>
      <c r="S4" s="65">
        <v>39629</v>
      </c>
      <c r="T4" s="65">
        <v>39659</v>
      </c>
      <c r="U4" s="65">
        <v>39690</v>
      </c>
      <c r="V4" s="65">
        <v>39721</v>
      </c>
      <c r="W4" s="65">
        <v>39751</v>
      </c>
      <c r="X4" s="65">
        <v>39782</v>
      </c>
      <c r="Y4" s="66">
        <v>39812</v>
      </c>
      <c r="Z4" s="64">
        <v>39477</v>
      </c>
      <c r="AA4" s="120"/>
    </row>
    <row r="5" spans="1:30" s="3" customFormat="1" ht="18.75" customHeight="1" thickBot="1">
      <c r="A5" s="126" t="s">
        <v>12</v>
      </c>
      <c r="B5" s="127"/>
      <c r="C5" s="127"/>
      <c r="D5" s="127"/>
      <c r="E5" s="128" t="s">
        <v>13</v>
      </c>
      <c r="F5" s="127"/>
      <c r="G5" s="129"/>
      <c r="H5" s="71" t="s">
        <v>28</v>
      </c>
      <c r="I5" s="72">
        <v>2</v>
      </c>
      <c r="J5" s="72">
        <v>3</v>
      </c>
      <c r="K5" s="72">
        <v>4</v>
      </c>
      <c r="L5" s="72">
        <v>5</v>
      </c>
      <c r="M5" s="73">
        <v>6</v>
      </c>
      <c r="N5" s="74">
        <v>7</v>
      </c>
      <c r="O5" s="72">
        <v>8</v>
      </c>
      <c r="P5" s="72">
        <v>9</v>
      </c>
      <c r="Q5" s="72">
        <v>10</v>
      </c>
      <c r="R5" s="72">
        <v>11</v>
      </c>
      <c r="S5" s="72">
        <v>12</v>
      </c>
      <c r="T5" s="72">
        <v>13</v>
      </c>
      <c r="U5" s="72">
        <v>14</v>
      </c>
      <c r="V5" s="72">
        <v>15</v>
      </c>
      <c r="W5" s="72">
        <v>16</v>
      </c>
      <c r="X5" s="72">
        <v>17</v>
      </c>
      <c r="Y5" s="73">
        <v>18</v>
      </c>
      <c r="Z5" s="74">
        <v>19</v>
      </c>
      <c r="AA5" s="121">
        <v>1</v>
      </c>
      <c r="AC5" s="3">
        <v>27</v>
      </c>
      <c r="AD5" s="1">
        <f>+AC5*3.7</f>
        <v>99.9</v>
      </c>
    </row>
    <row r="6" spans="1:30" ht="19.5" customHeight="1">
      <c r="A6" s="30">
        <v>1</v>
      </c>
      <c r="B6" s="18" t="s">
        <v>29</v>
      </c>
      <c r="C6" s="18"/>
      <c r="D6" s="18"/>
      <c r="E6" s="19"/>
      <c r="F6" s="19"/>
      <c r="G6" s="100"/>
      <c r="H6" s="9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95"/>
      <c r="AC6" s="1">
        <v>26</v>
      </c>
      <c r="AD6" s="1">
        <f>+AC6*3.7</f>
        <v>96.2</v>
      </c>
    </row>
    <row r="7" spans="1:30" ht="19.5" customHeight="1">
      <c r="A7" s="32">
        <v>1.1</v>
      </c>
      <c r="B7" s="14" t="s">
        <v>29</v>
      </c>
      <c r="C7" s="20">
        <v>1</v>
      </c>
      <c r="D7" s="21" t="s">
        <v>14</v>
      </c>
      <c r="E7" s="14">
        <v>21475730</v>
      </c>
      <c r="F7" s="76">
        <f>+E7/E$46</f>
        <v>0.1278317261904762</v>
      </c>
      <c r="G7" s="23" t="s">
        <v>11</v>
      </c>
      <c r="H7" s="61">
        <f>+H9/$E7*100</f>
        <v>10.211569059584937</v>
      </c>
      <c r="I7" s="61">
        <f aca="true" t="shared" si="0" ref="I7:Z7">+I9/$E7*100</f>
        <v>16.505692705207228</v>
      </c>
      <c r="J7" s="61">
        <f t="shared" si="0"/>
        <v>4.441376381617761</v>
      </c>
      <c r="K7" s="61">
        <f t="shared" si="0"/>
        <v>4.441376381617761</v>
      </c>
      <c r="L7" s="61">
        <f t="shared" si="0"/>
        <v>4.441376381617761</v>
      </c>
      <c r="M7" s="61">
        <f t="shared" si="0"/>
        <v>4.441376381617761</v>
      </c>
      <c r="N7" s="61">
        <f t="shared" si="0"/>
        <v>4.441376381617761</v>
      </c>
      <c r="O7" s="61">
        <f t="shared" si="0"/>
        <v>4.441376381617761</v>
      </c>
      <c r="P7" s="61">
        <f t="shared" si="0"/>
        <v>4.441376381617761</v>
      </c>
      <c r="Q7" s="61">
        <f t="shared" si="0"/>
        <v>4.441376381617761</v>
      </c>
      <c r="R7" s="61">
        <f t="shared" si="0"/>
        <v>4.441376381617761</v>
      </c>
      <c r="S7" s="61">
        <f t="shared" si="0"/>
        <v>4.441376381617761</v>
      </c>
      <c r="T7" s="61">
        <f t="shared" si="0"/>
        <v>4.441376381617761</v>
      </c>
      <c r="U7" s="61">
        <f t="shared" si="0"/>
        <v>4.441376381617761</v>
      </c>
      <c r="V7" s="61">
        <f t="shared" si="0"/>
        <v>4.441376381617761</v>
      </c>
      <c r="W7" s="61">
        <f t="shared" si="0"/>
        <v>4.441376381617761</v>
      </c>
      <c r="X7" s="61">
        <f t="shared" si="0"/>
        <v>4.441376381617761</v>
      </c>
      <c r="Y7" s="61">
        <f t="shared" si="0"/>
        <v>4.441376381617761</v>
      </c>
      <c r="Z7" s="61">
        <f t="shared" si="0"/>
        <v>2.2207161293236597</v>
      </c>
      <c r="AB7" s="13">
        <f>SUM(H7:Z7)</f>
        <v>99.99999999999996</v>
      </c>
      <c r="AC7" s="1">
        <v>25</v>
      </c>
      <c r="AD7" s="1">
        <f>+AC7*3.7</f>
        <v>92.5</v>
      </c>
    </row>
    <row r="8" spans="1:26" ht="6" customHeight="1">
      <c r="A8" s="33"/>
      <c r="B8" s="15"/>
      <c r="C8" s="22"/>
      <c r="D8" s="15"/>
      <c r="E8" s="14" t="s">
        <v>21</v>
      </c>
      <c r="F8" s="19"/>
      <c r="G8" s="23"/>
      <c r="H8" s="9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/>
    </row>
    <row r="9" spans="1:30" ht="19.5" customHeight="1">
      <c r="A9" s="34"/>
      <c r="B9" s="16"/>
      <c r="C9" s="24"/>
      <c r="D9" s="16"/>
      <c r="E9" s="84"/>
      <c r="F9" s="25"/>
      <c r="G9" s="26" t="s">
        <v>60</v>
      </c>
      <c r="H9" s="102">
        <f>2055000*0.5+65000*0.5+157000*0.3+2030000*0.3+953818/2</f>
        <v>2193009</v>
      </c>
      <c r="I9" s="102">
        <f>2055000*0.5+65000*0.5+157000*0.7+2030000*0.7+953818</f>
        <v>3544718</v>
      </c>
      <c r="J9" s="102">
        <v>953818</v>
      </c>
      <c r="K9" s="102">
        <v>953818</v>
      </c>
      <c r="L9" s="102">
        <v>953818</v>
      </c>
      <c r="M9" s="102">
        <v>953818</v>
      </c>
      <c r="N9" s="102">
        <v>953818</v>
      </c>
      <c r="O9" s="102">
        <v>953818</v>
      </c>
      <c r="P9" s="102">
        <v>953818</v>
      </c>
      <c r="Q9" s="102">
        <v>953818</v>
      </c>
      <c r="R9" s="102">
        <v>953818</v>
      </c>
      <c r="S9" s="102">
        <v>953818</v>
      </c>
      <c r="T9" s="102">
        <v>953818</v>
      </c>
      <c r="U9" s="102">
        <v>953818</v>
      </c>
      <c r="V9" s="102">
        <v>953818</v>
      </c>
      <c r="W9" s="102">
        <v>953818</v>
      </c>
      <c r="X9" s="102">
        <v>953818</v>
      </c>
      <c r="Y9" s="102">
        <v>953818</v>
      </c>
      <c r="Z9" s="102">
        <f>476909+6</f>
        <v>476915</v>
      </c>
      <c r="AB9" s="94">
        <f>SUM(H9:Z9)-E7</f>
        <v>0</v>
      </c>
      <c r="AC9" s="1">
        <v>24</v>
      </c>
      <c r="AD9" s="1">
        <f>+AC9*3.7</f>
        <v>88.80000000000001</v>
      </c>
    </row>
    <row r="10" spans="1:30" ht="19.5" customHeight="1">
      <c r="A10" s="30">
        <v>2</v>
      </c>
      <c r="B10" s="18" t="s">
        <v>30</v>
      </c>
      <c r="C10" s="18"/>
      <c r="D10" s="18"/>
      <c r="E10" s="85"/>
      <c r="F10" s="19"/>
      <c r="G10" s="101"/>
      <c r="H10" s="9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C10" s="1">
        <v>23</v>
      </c>
      <c r="AD10" s="1">
        <f>+AC10*3.7</f>
        <v>85.10000000000001</v>
      </c>
    </row>
    <row r="11" spans="1:30" ht="19.5" customHeight="1">
      <c r="A11" s="33">
        <v>2.1</v>
      </c>
      <c r="B11" s="19" t="s">
        <v>31</v>
      </c>
      <c r="C11" s="20">
        <v>1</v>
      </c>
      <c r="D11" s="21" t="s">
        <v>14</v>
      </c>
      <c r="E11" s="14">
        <f>8544501+2361729</f>
        <v>10906230</v>
      </c>
      <c r="F11" s="76">
        <f>+E11/E$46</f>
        <v>0.06491803571428571</v>
      </c>
      <c r="G11" s="23" t="s">
        <v>11</v>
      </c>
      <c r="H11" s="61">
        <f aca="true" t="shared" si="1" ref="H11:N11">+H13/$E11*100</f>
        <v>4.166666666666666</v>
      </c>
      <c r="I11" s="61">
        <f t="shared" si="1"/>
        <v>16.666666666666664</v>
      </c>
      <c r="J11" s="61">
        <f t="shared" si="1"/>
        <v>16.666666666666664</v>
      </c>
      <c r="K11" s="61">
        <f t="shared" si="1"/>
        <v>16.666666666666664</v>
      </c>
      <c r="L11" s="61">
        <f t="shared" si="1"/>
        <v>16.666666666666664</v>
      </c>
      <c r="M11" s="61">
        <f t="shared" si="1"/>
        <v>16.666666666666664</v>
      </c>
      <c r="N11" s="61">
        <f t="shared" si="1"/>
        <v>12.5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20">
        <v>0.8</v>
      </c>
      <c r="AB11" s="13">
        <f>SUM(H11:Z11)</f>
        <v>99.99999999999997</v>
      </c>
      <c r="AC11" s="1">
        <v>22</v>
      </c>
      <c r="AD11" s="1">
        <f>+AC11*3.7</f>
        <v>81.4</v>
      </c>
    </row>
    <row r="12" spans="1:26" ht="6" customHeight="1">
      <c r="A12" s="33"/>
      <c r="B12" s="15"/>
      <c r="C12" s="22"/>
      <c r="D12" s="15"/>
      <c r="E12" s="14"/>
      <c r="F12" s="19"/>
      <c r="G12" s="23"/>
      <c r="H12" s="61"/>
      <c r="I12" s="9"/>
      <c r="J12" s="9"/>
      <c r="K12" s="9"/>
      <c r="L12" s="9"/>
      <c r="M12" s="9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30" ht="19.5" customHeight="1">
      <c r="A13" s="34"/>
      <c r="B13" s="16"/>
      <c r="C13" s="24"/>
      <c r="D13" s="16"/>
      <c r="E13" s="84"/>
      <c r="F13" s="25"/>
      <c r="G13" s="26" t="s">
        <v>60</v>
      </c>
      <c r="H13" s="103">
        <f>1817705*0.25</f>
        <v>454426.25</v>
      </c>
      <c r="I13" s="103">
        <v>1817705</v>
      </c>
      <c r="J13" s="103">
        <v>1817705</v>
      </c>
      <c r="K13" s="103">
        <v>1817705</v>
      </c>
      <c r="L13" s="103">
        <v>1817705</v>
      </c>
      <c r="M13" s="103">
        <v>1817705</v>
      </c>
      <c r="N13" s="103">
        <f>1817705*0.75</f>
        <v>1363278.75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B13" s="94">
        <f>SUM(H13:Z13)-E11</f>
        <v>0</v>
      </c>
      <c r="AC13" s="1">
        <v>21</v>
      </c>
      <c r="AD13" s="1">
        <f>+AC13*3.7</f>
        <v>77.7</v>
      </c>
    </row>
    <row r="14" spans="1:30" ht="19.5" customHeight="1">
      <c r="A14" s="33">
        <v>2.2</v>
      </c>
      <c r="B14" s="15" t="s">
        <v>32</v>
      </c>
      <c r="C14" s="22"/>
      <c r="D14" s="15"/>
      <c r="E14" s="14"/>
      <c r="F14" s="19"/>
      <c r="G14" s="23"/>
      <c r="H14" s="6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1">
        <v>20</v>
      </c>
      <c r="AD14" s="1">
        <f>+AC14*3.7</f>
        <v>74</v>
      </c>
    </row>
    <row r="15" spans="1:30" ht="19.5" customHeight="1">
      <c r="A15" s="75" t="s">
        <v>33</v>
      </c>
      <c r="B15" s="15" t="s">
        <v>34</v>
      </c>
      <c r="C15" s="20">
        <v>1</v>
      </c>
      <c r="D15" s="21" t="s">
        <v>14</v>
      </c>
      <c r="E15" s="14">
        <v>2361729</v>
      </c>
      <c r="F15" s="76">
        <f>+E15/E$46</f>
        <v>0.014057910714285714</v>
      </c>
      <c r="G15" s="23" t="s">
        <v>11</v>
      </c>
      <c r="H15" s="61"/>
      <c r="I15" s="6"/>
      <c r="J15" s="6"/>
      <c r="K15" s="6"/>
      <c r="L15" s="6"/>
      <c r="M15" s="6"/>
      <c r="N15" s="61">
        <f>+N17/$E15*100</f>
        <v>50</v>
      </c>
      <c r="O15" s="61">
        <f>+O17/$E15*100</f>
        <v>50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B15" s="13">
        <f>SUM(H15:Z15)</f>
        <v>100</v>
      </c>
      <c r="AC15" s="1">
        <v>19</v>
      </c>
      <c r="AD15" s="1">
        <f>+AC15*3.7</f>
        <v>70.3</v>
      </c>
    </row>
    <row r="16" spans="1:26" ht="6" customHeight="1">
      <c r="A16" s="33"/>
      <c r="B16" s="15"/>
      <c r="C16" s="22"/>
      <c r="D16" s="15"/>
      <c r="E16" s="14"/>
      <c r="F16" s="19"/>
      <c r="G16" s="23"/>
      <c r="H16" s="61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30" ht="19.5" customHeight="1">
      <c r="A17" s="34"/>
      <c r="B17" s="16"/>
      <c r="C17" s="24"/>
      <c r="D17" s="16"/>
      <c r="E17" s="84"/>
      <c r="F17" s="25"/>
      <c r="G17" s="26" t="s">
        <v>60</v>
      </c>
      <c r="H17" s="35"/>
      <c r="I17" s="10"/>
      <c r="J17" s="10"/>
      <c r="K17" s="10"/>
      <c r="L17" s="10"/>
      <c r="M17" s="10"/>
      <c r="N17" s="102">
        <f>+$E15/2</f>
        <v>1180864.5</v>
      </c>
      <c r="O17" s="102">
        <f>+$E15/2</f>
        <v>1180864.5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B17" s="94">
        <f>SUM(H17:Z17)-E15</f>
        <v>0</v>
      </c>
      <c r="AC17" s="1">
        <v>18</v>
      </c>
      <c r="AD17" s="1">
        <f>+AC17*3.7</f>
        <v>66.60000000000001</v>
      </c>
    </row>
    <row r="18" spans="1:30" ht="19.5" customHeight="1">
      <c r="A18" s="33" t="s">
        <v>38</v>
      </c>
      <c r="B18" s="15" t="s">
        <v>35</v>
      </c>
      <c r="C18" s="20">
        <v>1</v>
      </c>
      <c r="D18" s="21" t="s">
        <v>14</v>
      </c>
      <c r="E18" s="14">
        <f>+E15*2</f>
        <v>4723458</v>
      </c>
      <c r="F18" s="76">
        <f>+E18/E$46</f>
        <v>0.028115821428571428</v>
      </c>
      <c r="G18" s="23" t="s">
        <v>11</v>
      </c>
      <c r="H18" s="61"/>
      <c r="I18" s="6"/>
      <c r="J18" s="6"/>
      <c r="K18" s="6"/>
      <c r="L18" s="6"/>
      <c r="M18" s="6"/>
      <c r="N18" s="6"/>
      <c r="O18" s="61">
        <f>+O20/$E18*100</f>
        <v>100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B18" s="13">
        <f>SUM(H18:Z18)</f>
        <v>100</v>
      </c>
      <c r="AC18" s="1">
        <v>17</v>
      </c>
      <c r="AD18" s="1">
        <f>+AC18*3.7</f>
        <v>62.900000000000006</v>
      </c>
    </row>
    <row r="19" spans="1:26" ht="6" customHeight="1">
      <c r="A19" s="33"/>
      <c r="B19" s="15"/>
      <c r="C19" s="21"/>
      <c r="D19" s="21"/>
      <c r="E19" s="14"/>
      <c r="F19" s="19"/>
      <c r="G19" s="23"/>
      <c r="H19" s="6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30" ht="19.5" customHeight="1">
      <c r="A20" s="34"/>
      <c r="B20" s="16"/>
      <c r="C20" s="27"/>
      <c r="D20" s="27"/>
      <c r="E20" s="84"/>
      <c r="F20" s="25"/>
      <c r="G20" s="26" t="s">
        <v>60</v>
      </c>
      <c r="H20" s="35"/>
      <c r="I20" s="10"/>
      <c r="J20" s="10"/>
      <c r="K20" s="10"/>
      <c r="L20" s="10"/>
      <c r="M20" s="10"/>
      <c r="N20" s="10"/>
      <c r="O20" s="102">
        <f>+$E18</f>
        <v>4723458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0">
        <v>0.6</v>
      </c>
      <c r="AB20" s="94">
        <f>SUM(H20:Z20)-E18</f>
        <v>0</v>
      </c>
      <c r="AC20" s="1">
        <v>16</v>
      </c>
      <c r="AD20" s="1">
        <f>+AC20*3.7</f>
        <v>59.2</v>
      </c>
    </row>
    <row r="21" spans="1:30" ht="19.5" customHeight="1">
      <c r="A21" s="33" t="s">
        <v>39</v>
      </c>
      <c r="B21" s="15" t="s">
        <v>36</v>
      </c>
      <c r="C21" s="20">
        <v>1</v>
      </c>
      <c r="D21" s="21" t="s">
        <v>14</v>
      </c>
      <c r="E21" s="14">
        <f>+E15*6</f>
        <v>14170374</v>
      </c>
      <c r="F21" s="76">
        <f>+E21/E$46</f>
        <v>0.08434746428571428</v>
      </c>
      <c r="G21" s="23" t="s">
        <v>11</v>
      </c>
      <c r="H21" s="61"/>
      <c r="I21" s="6"/>
      <c r="J21" s="6"/>
      <c r="K21" s="6"/>
      <c r="L21" s="6"/>
      <c r="M21" s="6"/>
      <c r="N21" s="6"/>
      <c r="O21" s="61"/>
      <c r="P21" s="61">
        <f>+P23/$E21*100</f>
        <v>40</v>
      </c>
      <c r="Q21" s="61">
        <f>+Q23/$E21*100</f>
        <v>40</v>
      </c>
      <c r="R21" s="61">
        <f>+R23/$E21*100</f>
        <v>20</v>
      </c>
      <c r="S21" s="6"/>
      <c r="T21" s="6"/>
      <c r="U21" s="6"/>
      <c r="V21" s="6"/>
      <c r="W21" s="6"/>
      <c r="X21" s="6"/>
      <c r="Y21" s="6"/>
      <c r="Z21" s="6"/>
      <c r="AB21" s="13">
        <f>SUM(H21:Z21)</f>
        <v>100</v>
      </c>
      <c r="AC21" s="1">
        <v>15</v>
      </c>
      <c r="AD21" s="1">
        <f>+AC21*3.7</f>
        <v>55.5</v>
      </c>
    </row>
    <row r="22" spans="1:26" ht="6" customHeight="1">
      <c r="A22" s="33"/>
      <c r="B22" s="15"/>
      <c r="C22" s="21"/>
      <c r="D22" s="21"/>
      <c r="E22" s="14"/>
      <c r="F22" s="19"/>
      <c r="G22" s="23"/>
      <c r="H22" s="61"/>
      <c r="I22" s="6"/>
      <c r="J22" s="6"/>
      <c r="K22" s="6"/>
      <c r="L22" s="6"/>
      <c r="M22" s="6"/>
      <c r="N22" s="6"/>
      <c r="O22" s="6"/>
      <c r="P22" s="9"/>
      <c r="Q22" s="9"/>
      <c r="R22" s="6"/>
      <c r="S22" s="6"/>
      <c r="T22" s="6"/>
      <c r="U22" s="6"/>
      <c r="V22" s="6"/>
      <c r="W22" s="6"/>
      <c r="X22" s="6"/>
      <c r="Y22" s="6"/>
      <c r="Z22" s="6"/>
    </row>
    <row r="23" spans="1:30" ht="19.5" customHeight="1">
      <c r="A23" s="34"/>
      <c r="B23" s="16"/>
      <c r="C23" s="27"/>
      <c r="D23" s="27"/>
      <c r="E23" s="84"/>
      <c r="F23" s="25"/>
      <c r="G23" s="26" t="s">
        <v>60</v>
      </c>
      <c r="H23" s="35"/>
      <c r="I23" s="10"/>
      <c r="J23" s="10"/>
      <c r="K23" s="10"/>
      <c r="L23" s="10"/>
      <c r="M23" s="10"/>
      <c r="N23" s="10"/>
      <c r="O23" s="102"/>
      <c r="P23" s="102">
        <f>+$E21/2.5*1</f>
        <v>5668149.6</v>
      </c>
      <c r="Q23" s="102">
        <f>+$E21/2.5*1</f>
        <v>5668149.6</v>
      </c>
      <c r="R23" s="102">
        <f>+$E21/2.5*0.5</f>
        <v>2834074.8</v>
      </c>
      <c r="S23" s="10"/>
      <c r="T23" s="10"/>
      <c r="U23" s="10"/>
      <c r="V23" s="10"/>
      <c r="W23" s="10"/>
      <c r="X23" s="10"/>
      <c r="Y23" s="10"/>
      <c r="Z23" s="10"/>
      <c r="AB23" s="94">
        <f>SUM(H23:Z23)-E21</f>
        <v>0</v>
      </c>
      <c r="AC23" s="1">
        <v>14</v>
      </c>
      <c r="AD23" s="1">
        <f>+AC23*3.7</f>
        <v>51.800000000000004</v>
      </c>
    </row>
    <row r="24" spans="1:30" ht="19.5" customHeight="1">
      <c r="A24" s="33" t="s">
        <v>40</v>
      </c>
      <c r="B24" s="15" t="s">
        <v>37</v>
      </c>
      <c r="C24" s="20">
        <v>1</v>
      </c>
      <c r="D24" s="21" t="s">
        <v>14</v>
      </c>
      <c r="E24" s="14">
        <f>+E15*5</f>
        <v>11808645</v>
      </c>
      <c r="F24" s="76">
        <f>+E24/E$46</f>
        <v>0.07028955357142858</v>
      </c>
      <c r="G24" s="23" t="s">
        <v>11</v>
      </c>
      <c r="H24" s="61"/>
      <c r="I24" s="6"/>
      <c r="J24" s="6"/>
      <c r="K24" s="6"/>
      <c r="L24" s="6"/>
      <c r="M24" s="6"/>
      <c r="N24" s="6"/>
      <c r="O24" s="6"/>
      <c r="P24" s="6"/>
      <c r="Q24" s="6"/>
      <c r="R24" s="61">
        <f>+R26/$E24*100</f>
        <v>50</v>
      </c>
      <c r="S24" s="104">
        <f>+S26/$E24*100</f>
        <v>50</v>
      </c>
      <c r="T24" s="6"/>
      <c r="U24" s="6"/>
      <c r="V24" s="6"/>
      <c r="W24" s="6"/>
      <c r="X24" s="6"/>
      <c r="Y24" s="6"/>
      <c r="Z24" s="6"/>
      <c r="AB24" s="13">
        <f>SUM(H24:Z24)</f>
        <v>100</v>
      </c>
      <c r="AC24" s="1">
        <v>13</v>
      </c>
      <c r="AD24" s="1">
        <f>+AC24*3.7</f>
        <v>48.1</v>
      </c>
    </row>
    <row r="25" spans="1:26" ht="6" customHeight="1">
      <c r="A25" s="33"/>
      <c r="B25" s="15"/>
      <c r="C25" s="21"/>
      <c r="D25" s="21"/>
      <c r="E25" s="14"/>
      <c r="F25" s="19"/>
      <c r="G25" s="23"/>
      <c r="H25" s="6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30" ht="19.5" customHeight="1">
      <c r="A26" s="34"/>
      <c r="B26" s="16"/>
      <c r="C26" s="27"/>
      <c r="D26" s="27"/>
      <c r="E26" s="84"/>
      <c r="F26" s="25"/>
      <c r="G26" s="26" t="s">
        <v>60</v>
      </c>
      <c r="H26" s="35"/>
      <c r="I26" s="10"/>
      <c r="J26" s="10"/>
      <c r="K26" s="10"/>
      <c r="L26" s="10"/>
      <c r="M26" s="10"/>
      <c r="N26" s="10"/>
      <c r="O26" s="10"/>
      <c r="P26" s="10"/>
      <c r="Q26" s="10"/>
      <c r="R26" s="102">
        <f>+$E24/2</f>
        <v>5904322.5</v>
      </c>
      <c r="S26" s="102">
        <f>+$E24/2</f>
        <v>5904322.5</v>
      </c>
      <c r="T26" s="10"/>
      <c r="U26" s="10"/>
      <c r="V26" s="10"/>
      <c r="W26" s="10"/>
      <c r="X26" s="10"/>
      <c r="Y26" s="10"/>
      <c r="Z26" s="10"/>
      <c r="AB26" s="94">
        <f>SUM(H26:Z26)-E24</f>
        <v>0</v>
      </c>
      <c r="AC26" s="1">
        <v>12</v>
      </c>
      <c r="AD26" s="1">
        <f>+AC26*3.7</f>
        <v>44.400000000000006</v>
      </c>
    </row>
    <row r="27" spans="1:30" ht="19.5" customHeight="1">
      <c r="A27" s="33" t="s">
        <v>41</v>
      </c>
      <c r="B27" s="15" t="s">
        <v>42</v>
      </c>
      <c r="C27" s="20">
        <v>1</v>
      </c>
      <c r="D27" s="21" t="s">
        <v>14</v>
      </c>
      <c r="E27" s="14">
        <f>+E15*1+1</f>
        <v>2361730</v>
      </c>
      <c r="F27" s="76">
        <f>+E27/E$46</f>
        <v>0.014057916666666666</v>
      </c>
      <c r="G27" s="23" t="s">
        <v>11</v>
      </c>
      <c r="H27" s="61"/>
      <c r="I27" s="6"/>
      <c r="J27" s="6"/>
      <c r="K27" s="6"/>
      <c r="L27" s="6"/>
      <c r="M27" s="6"/>
      <c r="N27" s="6"/>
      <c r="O27" s="6"/>
      <c r="P27" s="6"/>
      <c r="Q27" s="6"/>
      <c r="R27" s="6"/>
      <c r="S27" s="104">
        <f>+S29/$E27*100</f>
        <v>12.5</v>
      </c>
      <c r="T27" s="104">
        <f>+T29/$E27*100</f>
        <v>50</v>
      </c>
      <c r="U27" s="104">
        <f>+U29/$E27*100</f>
        <v>37.5</v>
      </c>
      <c r="V27" s="6"/>
      <c r="W27" s="6"/>
      <c r="X27" s="6"/>
      <c r="Y27" s="6"/>
      <c r="Z27" s="6"/>
      <c r="AA27" s="120">
        <v>0.4</v>
      </c>
      <c r="AB27" s="13">
        <f>SUM(H27:Z27)</f>
        <v>100</v>
      </c>
      <c r="AC27" s="1">
        <v>11</v>
      </c>
      <c r="AD27" s="1">
        <f>+AC27*3.7</f>
        <v>40.7</v>
      </c>
    </row>
    <row r="28" spans="1:26" ht="6" customHeight="1">
      <c r="A28" s="33"/>
      <c r="B28" s="15"/>
      <c r="C28" s="21"/>
      <c r="D28" s="21"/>
      <c r="E28" s="14"/>
      <c r="F28" s="19"/>
      <c r="G28" s="23"/>
      <c r="H28" s="6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9"/>
      <c r="U28" s="6"/>
      <c r="V28" s="6"/>
      <c r="W28" s="6"/>
      <c r="X28" s="6"/>
      <c r="Y28" s="6"/>
      <c r="Z28" s="6"/>
    </row>
    <row r="29" spans="1:30" ht="19.5" customHeight="1">
      <c r="A29" s="34"/>
      <c r="B29" s="16"/>
      <c r="C29" s="27"/>
      <c r="D29" s="27"/>
      <c r="E29" s="84"/>
      <c r="F29" s="25"/>
      <c r="G29" s="26" t="s">
        <v>60</v>
      </c>
      <c r="H29" s="35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2">
        <f>+$E27/2*0.25</f>
        <v>295216.25</v>
      </c>
      <c r="T29" s="102">
        <f>+$E27/2*1</f>
        <v>1180865</v>
      </c>
      <c r="U29" s="102">
        <f>+$E27/2*0.75</f>
        <v>885648.75</v>
      </c>
      <c r="V29" s="10"/>
      <c r="W29" s="10"/>
      <c r="X29" s="10"/>
      <c r="Y29" s="10"/>
      <c r="Z29" s="10"/>
      <c r="AB29" s="94">
        <f>SUM(H29:Z29)-E27</f>
        <v>0</v>
      </c>
      <c r="AC29" s="1">
        <v>10</v>
      </c>
      <c r="AD29" s="1">
        <f>+AC29*3.7</f>
        <v>37</v>
      </c>
    </row>
    <row r="30" spans="1:30" ht="19.5" customHeight="1">
      <c r="A30" s="33" t="s">
        <v>43</v>
      </c>
      <c r="B30" s="15" t="s">
        <v>44</v>
      </c>
      <c r="C30" s="20">
        <v>1</v>
      </c>
      <c r="D30" s="21" t="s">
        <v>14</v>
      </c>
      <c r="E30" s="14">
        <f>589238+1300165</f>
        <v>1889403</v>
      </c>
      <c r="F30" s="76">
        <f>+E30/E$46</f>
        <v>0.011246446428571429</v>
      </c>
      <c r="G30" s="23" t="s">
        <v>11</v>
      </c>
      <c r="H30" s="6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04">
        <f>+U32/$E30*100</f>
        <v>100</v>
      </c>
      <c r="V30" s="6"/>
      <c r="W30" s="6"/>
      <c r="X30" s="6"/>
      <c r="Y30" s="6"/>
      <c r="Z30" s="6"/>
      <c r="AA30" s="120" t="s">
        <v>21</v>
      </c>
      <c r="AB30" s="13">
        <f>SUM(H30:Z30)</f>
        <v>100</v>
      </c>
      <c r="AC30" s="1">
        <v>9</v>
      </c>
      <c r="AD30" s="1">
        <f>+AC30*3.7</f>
        <v>33.300000000000004</v>
      </c>
    </row>
    <row r="31" spans="1:26" ht="6" customHeight="1">
      <c r="A31" s="33"/>
      <c r="B31" s="15"/>
      <c r="C31" s="20"/>
      <c r="D31" s="21"/>
      <c r="E31" s="14"/>
      <c r="F31" s="19"/>
      <c r="G31" s="23"/>
      <c r="H31" s="6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9"/>
      <c r="V31" s="6"/>
      <c r="W31" s="6"/>
      <c r="X31" s="6"/>
      <c r="Y31" s="6"/>
      <c r="Z31" s="6"/>
    </row>
    <row r="32" spans="1:30" ht="19.5" customHeight="1">
      <c r="A32" s="34"/>
      <c r="B32" s="16"/>
      <c r="C32" s="28"/>
      <c r="D32" s="27"/>
      <c r="E32" s="84"/>
      <c r="F32" s="25"/>
      <c r="G32" s="26" t="s">
        <v>60</v>
      </c>
      <c r="H32" s="35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2">
        <f>+$E30*1</f>
        <v>1889403</v>
      </c>
      <c r="V32" s="10"/>
      <c r="W32" s="10"/>
      <c r="X32" s="10"/>
      <c r="Y32" s="10"/>
      <c r="Z32" s="10"/>
      <c r="AB32" s="94">
        <f>SUM(H32:Z32)-E30</f>
        <v>0</v>
      </c>
      <c r="AC32" s="1">
        <v>8</v>
      </c>
      <c r="AD32" s="1">
        <f>+AC32*3.7</f>
        <v>29.6</v>
      </c>
    </row>
    <row r="33" spans="1:30" ht="19.5" customHeight="1">
      <c r="A33" s="31">
        <v>3</v>
      </c>
      <c r="B33" s="29" t="s">
        <v>17</v>
      </c>
      <c r="C33" s="20"/>
      <c r="D33" s="21"/>
      <c r="E33" s="14"/>
      <c r="F33" s="19"/>
      <c r="G33" s="23"/>
      <c r="H33" s="6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C33" s="1">
        <v>7</v>
      </c>
      <c r="AD33" s="1">
        <f>+AC33*3.7</f>
        <v>25.900000000000002</v>
      </c>
    </row>
    <row r="34" spans="1:30" ht="19.5" customHeight="1">
      <c r="A34" s="33">
        <v>3.1</v>
      </c>
      <c r="B34" s="15" t="s">
        <v>46</v>
      </c>
      <c r="C34" s="20">
        <v>1</v>
      </c>
      <c r="D34" s="21" t="s">
        <v>14</v>
      </c>
      <c r="E34" s="14">
        <f>0+5456790+10608370+16280630+15153337+6341885+1285260+2598200+1689395+1790772</f>
        <v>61204639</v>
      </c>
      <c r="F34" s="76">
        <f>+E34/E$46</f>
        <v>0.3643133273809524</v>
      </c>
      <c r="G34" s="23" t="s">
        <v>11</v>
      </c>
      <c r="H34" s="61"/>
      <c r="I34" s="6"/>
      <c r="J34" s="6"/>
      <c r="K34" s="6"/>
      <c r="L34" s="6"/>
      <c r="M34" s="6"/>
      <c r="N34" s="6"/>
      <c r="O34" s="6"/>
      <c r="P34" s="61">
        <f aca="true" t="shared" si="2" ref="P34:Z34">+P36/$E34*100</f>
        <v>9.523809523809524</v>
      </c>
      <c r="Q34" s="61">
        <f t="shared" si="2"/>
        <v>9.523809523809524</v>
      </c>
      <c r="R34" s="61">
        <f t="shared" si="2"/>
        <v>9.523809523809524</v>
      </c>
      <c r="S34" s="61">
        <f t="shared" si="2"/>
        <v>9.523809523809524</v>
      </c>
      <c r="T34" s="61">
        <f t="shared" si="2"/>
        <v>9.523809523809524</v>
      </c>
      <c r="U34" s="61">
        <f t="shared" si="2"/>
        <v>9.523809523809524</v>
      </c>
      <c r="V34" s="61">
        <f t="shared" si="2"/>
        <v>9.523809523809524</v>
      </c>
      <c r="W34" s="61">
        <f t="shared" si="2"/>
        <v>9.523809523809524</v>
      </c>
      <c r="X34" s="61">
        <f t="shared" si="2"/>
        <v>9.523809523809524</v>
      </c>
      <c r="Y34" s="61">
        <f t="shared" si="2"/>
        <v>9.523809523809524</v>
      </c>
      <c r="Z34" s="61">
        <f t="shared" si="2"/>
        <v>4.761904761904762</v>
      </c>
      <c r="AB34" s="13">
        <f>SUM(H34:Z34)</f>
        <v>99.99999999999999</v>
      </c>
      <c r="AC34" s="1">
        <v>6</v>
      </c>
      <c r="AD34" s="1">
        <f>+AC34*3.7</f>
        <v>22.200000000000003</v>
      </c>
    </row>
    <row r="35" spans="1:26" ht="6" customHeight="1">
      <c r="A35" s="33"/>
      <c r="B35" s="15"/>
      <c r="C35" s="20"/>
      <c r="D35" s="21"/>
      <c r="E35" s="14"/>
      <c r="F35" s="19"/>
      <c r="G35" s="23"/>
      <c r="H35" s="61"/>
      <c r="I35" s="6"/>
      <c r="J35" s="6"/>
      <c r="K35" s="6"/>
      <c r="L35" s="6"/>
      <c r="M35" s="6"/>
      <c r="N35" s="6"/>
      <c r="O35" s="6"/>
      <c r="P35" s="9"/>
      <c r="Q35" s="9"/>
      <c r="R35" s="9"/>
      <c r="S35" s="9"/>
      <c r="T35" s="9"/>
      <c r="U35" s="9"/>
      <c r="V35" s="9"/>
      <c r="W35" s="9"/>
      <c r="X35" s="9"/>
      <c r="Y35" s="9"/>
      <c r="Z35" s="6"/>
    </row>
    <row r="36" spans="1:30" ht="19.5" customHeight="1">
      <c r="A36" s="34"/>
      <c r="B36" s="16"/>
      <c r="C36" s="28"/>
      <c r="D36" s="27"/>
      <c r="E36" s="84"/>
      <c r="F36" s="25"/>
      <c r="G36" s="26" t="s">
        <v>60</v>
      </c>
      <c r="H36" s="35"/>
      <c r="I36" s="10"/>
      <c r="J36" s="10"/>
      <c r="K36" s="10"/>
      <c r="L36" s="10"/>
      <c r="M36" s="10"/>
      <c r="N36" s="10"/>
      <c r="O36" s="10"/>
      <c r="P36" s="102">
        <f>+$E34/10.5*1</f>
        <v>5829013.238095238</v>
      </c>
      <c r="Q36" s="102">
        <f aca="true" t="shared" si="3" ref="Q36:Y36">+$E34/10.5*1</f>
        <v>5829013.238095238</v>
      </c>
      <c r="R36" s="102">
        <f t="shared" si="3"/>
        <v>5829013.238095238</v>
      </c>
      <c r="S36" s="102">
        <f t="shared" si="3"/>
        <v>5829013.238095238</v>
      </c>
      <c r="T36" s="102">
        <f t="shared" si="3"/>
        <v>5829013.238095238</v>
      </c>
      <c r="U36" s="102">
        <f t="shared" si="3"/>
        <v>5829013.238095238</v>
      </c>
      <c r="V36" s="102">
        <f t="shared" si="3"/>
        <v>5829013.238095238</v>
      </c>
      <c r="W36" s="102">
        <f t="shared" si="3"/>
        <v>5829013.238095238</v>
      </c>
      <c r="X36" s="102">
        <f t="shared" si="3"/>
        <v>5829013.238095238</v>
      </c>
      <c r="Y36" s="102">
        <f t="shared" si="3"/>
        <v>5829013.238095238</v>
      </c>
      <c r="Z36" s="102">
        <f>+$E34/10.5*0.5</f>
        <v>2914506.619047619</v>
      </c>
      <c r="AA36" s="120">
        <v>0.2</v>
      </c>
      <c r="AB36" s="94">
        <f>SUM(H36:Z36)-E34</f>
        <v>0</v>
      </c>
      <c r="AC36" s="1">
        <v>5</v>
      </c>
      <c r="AD36" s="1">
        <f>+AC36*3.7</f>
        <v>18.5</v>
      </c>
    </row>
    <row r="37" spans="1:30" ht="19.5" customHeight="1">
      <c r="A37" s="33">
        <v>3.2</v>
      </c>
      <c r="B37" s="15" t="s">
        <v>45</v>
      </c>
      <c r="C37" s="20">
        <v>1</v>
      </c>
      <c r="D37" s="21" t="s">
        <v>14</v>
      </c>
      <c r="E37" s="14">
        <f>1266180+16208022+674775+296000+3107000+864000</f>
        <v>22415977</v>
      </c>
      <c r="F37" s="76">
        <f>+E37/E$46</f>
        <v>0.13342843452380954</v>
      </c>
      <c r="G37" s="23" t="s">
        <v>11</v>
      </c>
      <c r="H37" s="61"/>
      <c r="I37" s="6"/>
      <c r="J37" s="6"/>
      <c r="K37" s="6"/>
      <c r="L37" s="6"/>
      <c r="M37" s="6"/>
      <c r="N37" s="6"/>
      <c r="O37" s="6"/>
      <c r="P37" s="6"/>
      <c r="Q37" s="61">
        <f aca="true" t="shared" si="4" ref="Q37:Z37">+Q39/$E37*100</f>
        <v>5.555555555555555</v>
      </c>
      <c r="R37" s="61">
        <f t="shared" si="4"/>
        <v>11.11111111111111</v>
      </c>
      <c r="S37" s="61">
        <f t="shared" si="4"/>
        <v>11.11111111111111</v>
      </c>
      <c r="T37" s="61">
        <f t="shared" si="4"/>
        <v>11.11111111111111</v>
      </c>
      <c r="U37" s="61">
        <f t="shared" si="4"/>
        <v>11.11111111111111</v>
      </c>
      <c r="V37" s="61">
        <f t="shared" si="4"/>
        <v>11.11111111111111</v>
      </c>
      <c r="W37" s="61">
        <f t="shared" si="4"/>
        <v>11.11111111111111</v>
      </c>
      <c r="X37" s="61">
        <f t="shared" si="4"/>
        <v>11.11111111111111</v>
      </c>
      <c r="Y37" s="61">
        <f t="shared" si="4"/>
        <v>11.11111111111111</v>
      </c>
      <c r="Z37" s="61">
        <f t="shared" si="4"/>
        <v>5.555555555555555</v>
      </c>
      <c r="AA37" s="120" t="s">
        <v>21</v>
      </c>
      <c r="AB37" s="13">
        <f>SUM(H37:Z37)</f>
        <v>100.00000000000001</v>
      </c>
      <c r="AC37" s="1">
        <v>4</v>
      </c>
      <c r="AD37" s="1">
        <f>+AC37*3.7</f>
        <v>14.8</v>
      </c>
    </row>
    <row r="38" spans="1:26" ht="6" customHeight="1">
      <c r="A38" s="33"/>
      <c r="B38" s="15"/>
      <c r="C38" s="20"/>
      <c r="D38" s="21"/>
      <c r="E38" s="14"/>
      <c r="F38" s="19"/>
      <c r="G38" s="23"/>
      <c r="H38" s="61"/>
      <c r="I38" s="6"/>
      <c r="J38" s="6"/>
      <c r="K38" s="6"/>
      <c r="L38" s="6"/>
      <c r="M38" s="6"/>
      <c r="N38" s="6"/>
      <c r="O38" s="6"/>
      <c r="P38" s="6"/>
      <c r="Q38" s="6"/>
      <c r="R38" s="9"/>
      <c r="S38" s="9"/>
      <c r="T38" s="9"/>
      <c r="U38" s="9"/>
      <c r="V38" s="9"/>
      <c r="W38" s="9"/>
      <c r="X38" s="9"/>
      <c r="Y38" s="9"/>
      <c r="Z38" s="6"/>
    </row>
    <row r="39" spans="1:30" ht="19.5" customHeight="1">
      <c r="A39" s="34"/>
      <c r="B39" s="16"/>
      <c r="C39" s="28"/>
      <c r="D39" s="27"/>
      <c r="E39" s="84"/>
      <c r="F39" s="25"/>
      <c r="G39" s="26" t="s">
        <v>60</v>
      </c>
      <c r="H39" s="35"/>
      <c r="I39" s="10"/>
      <c r="J39" s="10"/>
      <c r="K39" s="10"/>
      <c r="L39" s="10"/>
      <c r="M39" s="10"/>
      <c r="N39" s="10"/>
      <c r="O39" s="10"/>
      <c r="P39" s="10"/>
      <c r="Q39" s="102">
        <f>+$E37/9*0.5</f>
        <v>1245332.0555555555</v>
      </c>
      <c r="R39" s="102">
        <f>+$E37/9*1</f>
        <v>2490664.111111111</v>
      </c>
      <c r="S39" s="102">
        <f aca="true" t="shared" si="5" ref="S39:Y39">+$E37/9*1</f>
        <v>2490664.111111111</v>
      </c>
      <c r="T39" s="102">
        <f t="shared" si="5"/>
        <v>2490664.111111111</v>
      </c>
      <c r="U39" s="102">
        <f t="shared" si="5"/>
        <v>2490664.111111111</v>
      </c>
      <c r="V39" s="102">
        <f t="shared" si="5"/>
        <v>2490664.111111111</v>
      </c>
      <c r="W39" s="102">
        <f t="shared" si="5"/>
        <v>2490664.111111111</v>
      </c>
      <c r="X39" s="102">
        <f t="shared" si="5"/>
        <v>2490664.111111111</v>
      </c>
      <c r="Y39" s="102">
        <f t="shared" si="5"/>
        <v>2490664.111111111</v>
      </c>
      <c r="Z39" s="102">
        <f>+$E37/9*0.5</f>
        <v>1245332.0555555555</v>
      </c>
      <c r="AA39" s="121"/>
      <c r="AB39" s="94">
        <f>SUM(H39:Z39)-E37</f>
        <v>0</v>
      </c>
      <c r="AC39" s="1">
        <v>3</v>
      </c>
      <c r="AD39" s="1">
        <f>+AC39*3.7</f>
        <v>11.100000000000001</v>
      </c>
    </row>
    <row r="40" spans="1:30" ht="19.5" customHeight="1">
      <c r="A40" s="31">
        <v>4</v>
      </c>
      <c r="B40" s="29" t="s">
        <v>47</v>
      </c>
      <c r="C40" s="20"/>
      <c r="D40" s="21"/>
      <c r="E40" s="14"/>
      <c r="F40" s="19"/>
      <c r="G40" s="23"/>
      <c r="H40" s="6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C40" s="1">
        <v>2</v>
      </c>
      <c r="AD40" s="1">
        <f>+AC40*3.7</f>
        <v>7.4</v>
      </c>
    </row>
    <row r="41" spans="1:30" ht="19.5" customHeight="1">
      <c r="A41" s="33">
        <v>4.1</v>
      </c>
      <c r="B41" s="15" t="s">
        <v>48</v>
      </c>
      <c r="C41" s="20">
        <v>1</v>
      </c>
      <c r="D41" s="21" t="s">
        <v>14</v>
      </c>
      <c r="E41" s="14">
        <f>945815+1136270</f>
        <v>2082085</v>
      </c>
      <c r="F41" s="76">
        <f>+E41/E$46</f>
        <v>0.012393363095238094</v>
      </c>
      <c r="G41" s="23" t="s">
        <v>11</v>
      </c>
      <c r="H41" s="61"/>
      <c r="I41" s="6"/>
      <c r="J41" s="6"/>
      <c r="K41" s="6"/>
      <c r="L41" s="6"/>
      <c r="M41" s="6"/>
      <c r="N41" s="6"/>
      <c r="O41" s="6"/>
      <c r="P41" s="6"/>
      <c r="Q41" s="6"/>
      <c r="R41" s="6"/>
      <c r="S41" s="61">
        <f aca="true" t="shared" si="6" ref="S41:Z41">+S43/$E41*100</f>
        <v>13.333333333333334</v>
      </c>
      <c r="T41" s="61">
        <f t="shared" si="6"/>
        <v>13.333333333333334</v>
      </c>
      <c r="U41" s="61">
        <f t="shared" si="6"/>
        <v>13.333333333333334</v>
      </c>
      <c r="V41" s="61">
        <f t="shared" si="6"/>
        <v>13.333333333333334</v>
      </c>
      <c r="W41" s="61">
        <f t="shared" si="6"/>
        <v>13.333333333333334</v>
      </c>
      <c r="X41" s="61">
        <f t="shared" si="6"/>
        <v>13.333333333333334</v>
      </c>
      <c r="Y41" s="61">
        <f t="shared" si="6"/>
        <v>13.333333333333334</v>
      </c>
      <c r="Z41" s="61">
        <f t="shared" si="6"/>
        <v>6.666666666666667</v>
      </c>
      <c r="AA41" s="120" t="s">
        <v>21</v>
      </c>
      <c r="AB41" s="13">
        <f>SUM(H41:Z41)</f>
        <v>100</v>
      </c>
      <c r="AC41" s="1">
        <v>1</v>
      </c>
      <c r="AD41" s="1">
        <f>+AC41*3.7</f>
        <v>3.7</v>
      </c>
    </row>
    <row r="42" spans="1:26" ht="6" customHeight="1">
      <c r="A42" s="33"/>
      <c r="B42" s="15"/>
      <c r="C42" s="20"/>
      <c r="D42" s="21"/>
      <c r="E42" s="14"/>
      <c r="F42" s="19"/>
      <c r="G42" s="23"/>
      <c r="H42" s="61"/>
      <c r="I42" s="6"/>
      <c r="J42" s="6"/>
      <c r="K42" s="6"/>
      <c r="L42" s="6"/>
      <c r="M42" s="6"/>
      <c r="N42" s="6"/>
      <c r="O42" s="6"/>
      <c r="P42" s="6"/>
      <c r="Q42" s="6"/>
      <c r="R42" s="6"/>
      <c r="S42" s="9"/>
      <c r="T42" s="9"/>
      <c r="U42" s="9"/>
      <c r="V42" s="9"/>
      <c r="W42" s="9"/>
      <c r="X42" s="9"/>
      <c r="Y42" s="9"/>
      <c r="Z42" s="6"/>
    </row>
    <row r="43" spans="1:30" ht="19.5" customHeight="1" thickBot="1">
      <c r="A43" s="34"/>
      <c r="B43" s="78"/>
      <c r="C43" s="79"/>
      <c r="D43" s="80"/>
      <c r="E43" s="86"/>
      <c r="F43" s="80"/>
      <c r="G43" s="26" t="s">
        <v>60</v>
      </c>
      <c r="H43" s="35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2">
        <f>+$E41/7.5*1</f>
        <v>277611.3333333333</v>
      </c>
      <c r="T43" s="102">
        <f aca="true" t="shared" si="7" ref="T43:Y43">+$E41/7.5*1</f>
        <v>277611.3333333333</v>
      </c>
      <c r="U43" s="102">
        <f t="shared" si="7"/>
        <v>277611.3333333333</v>
      </c>
      <c r="V43" s="102">
        <f t="shared" si="7"/>
        <v>277611.3333333333</v>
      </c>
      <c r="W43" s="102">
        <f t="shared" si="7"/>
        <v>277611.3333333333</v>
      </c>
      <c r="X43" s="102">
        <f t="shared" si="7"/>
        <v>277611.3333333333</v>
      </c>
      <c r="Y43" s="102">
        <f t="shared" si="7"/>
        <v>277611.3333333333</v>
      </c>
      <c r="Z43" s="102">
        <f>+$E41/7.5*0.5</f>
        <v>138805.66666666666</v>
      </c>
      <c r="AA43" s="121">
        <v>0</v>
      </c>
      <c r="AB43" s="94">
        <f>SUM(H43:Z43)-E41</f>
        <v>0</v>
      </c>
      <c r="AC43" s="1">
        <v>0</v>
      </c>
      <c r="AD43" s="1">
        <f>+AC43*3.7</f>
        <v>0</v>
      </c>
    </row>
    <row r="44" spans="1:30" ht="19.5" customHeight="1">
      <c r="A44" s="54"/>
      <c r="B44" s="42" t="s">
        <v>23</v>
      </c>
      <c r="C44" s="81"/>
      <c r="D44" s="82"/>
      <c r="E44" s="83">
        <f>7560000+5040000</f>
        <v>12600000</v>
      </c>
      <c r="F44" s="76">
        <f>+E44/E$46</f>
        <v>0.075</v>
      </c>
      <c r="G44" s="113" t="s">
        <v>18</v>
      </c>
      <c r="H44" s="135">
        <f>(+H9+H13+H17+H20+H23+H26+H29+H32+H36+H39+H43)/(168000000-12600000)*$E44</f>
        <v>214656.91216216216</v>
      </c>
      <c r="I44" s="135">
        <f aca="true" t="shared" si="8" ref="I44:Z44">(+I9+I13+I17+I20+I23+I26+I29+I32+I36+I39+I43)/(168000000-12600000)*$E44</f>
        <v>434791.0540540541</v>
      </c>
      <c r="J44" s="135">
        <f t="shared" si="8"/>
        <v>224718.08108108107</v>
      </c>
      <c r="K44" s="135">
        <f t="shared" si="8"/>
        <v>224718.08108108107</v>
      </c>
      <c r="L44" s="135">
        <f t="shared" si="8"/>
        <v>224718.08108108107</v>
      </c>
      <c r="M44" s="135">
        <f t="shared" si="8"/>
        <v>224718.08108108107</v>
      </c>
      <c r="N44" s="135">
        <f t="shared" si="8"/>
        <v>283618.47972972976</v>
      </c>
      <c r="O44" s="135">
        <f t="shared" si="8"/>
        <v>556065.4459459459</v>
      </c>
      <c r="P44" s="135">
        <f t="shared" si="8"/>
        <v>1009538.9868725868</v>
      </c>
      <c r="Q44" s="135">
        <f t="shared" si="8"/>
        <v>1110511.8562419561</v>
      </c>
      <c r="R44" s="135">
        <f t="shared" si="8"/>
        <v>1460423.7283140284</v>
      </c>
      <c r="S44" s="135">
        <f t="shared" si="8"/>
        <v>1277079.3593951096</v>
      </c>
      <c r="T44" s="135">
        <f t="shared" si="8"/>
        <v>870159.8661518662</v>
      </c>
      <c r="U44" s="135">
        <f t="shared" si="8"/>
        <v>999418.2512870015</v>
      </c>
      <c r="V44" s="135">
        <f t="shared" si="8"/>
        <v>774414.0553410554</v>
      </c>
      <c r="W44" s="135">
        <f t="shared" si="8"/>
        <v>774414.0553410554</v>
      </c>
      <c r="X44" s="135">
        <f t="shared" si="8"/>
        <v>774414.0553410554</v>
      </c>
      <c r="Y44" s="135">
        <f t="shared" si="8"/>
        <v>774414.0553410554</v>
      </c>
      <c r="Z44" s="135">
        <f t="shared" si="8"/>
        <v>387207.51415701414</v>
      </c>
      <c r="AB44" s="94">
        <f>SUM(H44:Z44)-E44</f>
        <v>0</v>
      </c>
      <c r="AD44" s="1">
        <f>100/27</f>
        <v>3.7037037037037037</v>
      </c>
    </row>
    <row r="45" spans="1:26" ht="19.5" customHeight="1" thickBot="1">
      <c r="A45" s="55"/>
      <c r="B45" s="77"/>
      <c r="C45" s="47"/>
      <c r="D45" s="48"/>
      <c r="E45" s="49"/>
      <c r="F45" s="46"/>
      <c r="G45" s="112" t="s">
        <v>19</v>
      </c>
      <c r="H45" s="118">
        <f>+H44</f>
        <v>214656.91216216216</v>
      </c>
      <c r="I45" s="119">
        <f>+H45+I44</f>
        <v>649447.9662162162</v>
      </c>
      <c r="J45" s="119">
        <f aca="true" t="shared" si="9" ref="J45:Z45">+I45+J44</f>
        <v>874166.0472972973</v>
      </c>
      <c r="K45" s="119">
        <f t="shared" si="9"/>
        <v>1098884.1283783782</v>
      </c>
      <c r="L45" s="119">
        <f t="shared" si="9"/>
        <v>1323602.2094594594</v>
      </c>
      <c r="M45" s="119">
        <f t="shared" si="9"/>
        <v>1548320.2905405406</v>
      </c>
      <c r="N45" s="119">
        <f t="shared" si="9"/>
        <v>1831938.7702702703</v>
      </c>
      <c r="O45" s="119">
        <f t="shared" si="9"/>
        <v>2388004.2162162163</v>
      </c>
      <c r="P45" s="119">
        <f t="shared" si="9"/>
        <v>3397543.203088803</v>
      </c>
      <c r="Q45" s="119">
        <f t="shared" si="9"/>
        <v>4508055.05933076</v>
      </c>
      <c r="R45" s="119">
        <f t="shared" si="9"/>
        <v>5968478.787644788</v>
      </c>
      <c r="S45" s="119">
        <f t="shared" si="9"/>
        <v>7245558.147039898</v>
      </c>
      <c r="T45" s="119">
        <f t="shared" si="9"/>
        <v>8115718.013191764</v>
      </c>
      <c r="U45" s="119">
        <f t="shared" si="9"/>
        <v>9115136.264478765</v>
      </c>
      <c r="V45" s="119">
        <f t="shared" si="9"/>
        <v>9889550.319819821</v>
      </c>
      <c r="W45" s="119">
        <f t="shared" si="9"/>
        <v>10663964.375160877</v>
      </c>
      <c r="X45" s="119">
        <f t="shared" si="9"/>
        <v>11438378.430501932</v>
      </c>
      <c r="Y45" s="119">
        <f t="shared" si="9"/>
        <v>12212792.485842988</v>
      </c>
      <c r="Z45" s="119">
        <f t="shared" si="9"/>
        <v>12600000.000000002</v>
      </c>
    </row>
    <row r="46" spans="1:28" ht="19.5" customHeight="1">
      <c r="A46" s="137"/>
      <c r="B46" s="138" t="s">
        <v>49</v>
      </c>
      <c r="C46" s="139"/>
      <c r="D46" s="140"/>
      <c r="E46" s="141">
        <f>SUM(E6:E45)</f>
        <v>168000000</v>
      </c>
      <c r="F46" s="142">
        <f>+E46/E$46</f>
        <v>1</v>
      </c>
      <c r="G46" s="143" t="s">
        <v>18</v>
      </c>
      <c r="H46" s="130">
        <f>+H9+H13+H17+H20+H23+H26+H29+H32+H36+H39+H43+H44</f>
        <v>2862092.1621621624</v>
      </c>
      <c r="I46" s="130">
        <f aca="true" t="shared" si="10" ref="I46:Z46">+I9+I13+I17+I20+I23+I26+I29+I32+I36+I39+I43+I44</f>
        <v>5797214.054054054</v>
      </c>
      <c r="J46" s="130">
        <f t="shared" si="10"/>
        <v>2996241.081081081</v>
      </c>
      <c r="K46" s="130">
        <f t="shared" si="10"/>
        <v>2996241.081081081</v>
      </c>
      <c r="L46" s="130">
        <f t="shared" si="10"/>
        <v>2996241.081081081</v>
      </c>
      <c r="M46" s="130">
        <f t="shared" si="10"/>
        <v>2996241.081081081</v>
      </c>
      <c r="N46" s="130">
        <f t="shared" si="10"/>
        <v>3781579.7297297297</v>
      </c>
      <c r="O46" s="130">
        <f t="shared" si="10"/>
        <v>7414205.945945946</v>
      </c>
      <c r="P46" s="130">
        <f t="shared" si="10"/>
        <v>13460519.824967824</v>
      </c>
      <c r="Q46" s="130">
        <f t="shared" si="10"/>
        <v>14806824.749892749</v>
      </c>
      <c r="R46" s="130">
        <f t="shared" si="10"/>
        <v>19472316.37752038</v>
      </c>
      <c r="S46" s="130">
        <f t="shared" si="10"/>
        <v>17027724.791934796</v>
      </c>
      <c r="T46" s="130">
        <f t="shared" si="10"/>
        <v>11602131.548691548</v>
      </c>
      <c r="U46" s="130">
        <f t="shared" si="10"/>
        <v>13325576.683826687</v>
      </c>
      <c r="V46" s="130">
        <f t="shared" si="10"/>
        <v>10325520.737880738</v>
      </c>
      <c r="W46" s="130">
        <f t="shared" si="10"/>
        <v>10325520.737880738</v>
      </c>
      <c r="X46" s="130">
        <f t="shared" si="10"/>
        <v>10325520.737880738</v>
      </c>
      <c r="Y46" s="130">
        <f t="shared" si="10"/>
        <v>10325520.737880738</v>
      </c>
      <c r="Z46" s="130">
        <f t="shared" si="10"/>
        <v>5162766.855426855</v>
      </c>
      <c r="AB46" s="94">
        <f>SUM(H46:Z46)-E46</f>
        <v>0</v>
      </c>
    </row>
    <row r="47" spans="1:26" ht="19.5" customHeight="1" thickBot="1">
      <c r="A47" s="144"/>
      <c r="B47" s="145"/>
      <c r="C47" s="146"/>
      <c r="D47" s="147"/>
      <c r="E47" s="148"/>
      <c r="F47" s="149"/>
      <c r="G47" s="150" t="s">
        <v>19</v>
      </c>
      <c r="H47" s="132">
        <f>+H46</f>
        <v>2862092.1621621624</v>
      </c>
      <c r="I47" s="133">
        <f>+H47+I46</f>
        <v>8659306.216216218</v>
      </c>
      <c r="J47" s="133">
        <f aca="true" t="shared" si="11" ref="J47:Z47">+I47+J46</f>
        <v>11655547.297297299</v>
      </c>
      <c r="K47" s="133">
        <f t="shared" si="11"/>
        <v>14651788.37837838</v>
      </c>
      <c r="L47" s="133">
        <f t="shared" si="11"/>
        <v>17648029.45945946</v>
      </c>
      <c r="M47" s="133">
        <f t="shared" si="11"/>
        <v>20644270.540540542</v>
      </c>
      <c r="N47" s="133">
        <f t="shared" si="11"/>
        <v>24425850.270270273</v>
      </c>
      <c r="O47" s="133">
        <f t="shared" si="11"/>
        <v>31840056.216216218</v>
      </c>
      <c r="P47" s="133">
        <f t="shared" si="11"/>
        <v>45300576.04118404</v>
      </c>
      <c r="Q47" s="133">
        <f t="shared" si="11"/>
        <v>60107400.79107679</v>
      </c>
      <c r="R47" s="133">
        <f t="shared" si="11"/>
        <v>79579717.16859716</v>
      </c>
      <c r="S47" s="133">
        <f t="shared" si="11"/>
        <v>96607441.96053195</v>
      </c>
      <c r="T47" s="133">
        <f t="shared" si="11"/>
        <v>108209573.50922349</v>
      </c>
      <c r="U47" s="133">
        <f t="shared" si="11"/>
        <v>121535150.19305018</v>
      </c>
      <c r="V47" s="133">
        <f t="shared" si="11"/>
        <v>131860670.93093091</v>
      </c>
      <c r="W47" s="133">
        <f t="shared" si="11"/>
        <v>142186191.66881165</v>
      </c>
      <c r="X47" s="133">
        <f t="shared" si="11"/>
        <v>152511712.4066924</v>
      </c>
      <c r="Y47" s="133">
        <f t="shared" si="11"/>
        <v>162837233.14457312</v>
      </c>
      <c r="Z47" s="133">
        <f t="shared" si="11"/>
        <v>167999999.99999997</v>
      </c>
    </row>
    <row r="48" spans="1:26" ht="19.5" customHeight="1">
      <c r="A48" s="56"/>
      <c r="B48" s="40" t="s">
        <v>50</v>
      </c>
      <c r="C48" s="51"/>
      <c r="D48" s="44"/>
      <c r="E48" s="44"/>
      <c r="F48" s="44"/>
      <c r="G48" s="111" t="s">
        <v>18</v>
      </c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6"/>
    </row>
    <row r="49" spans="1:26" ht="19.5" customHeight="1" thickBot="1">
      <c r="A49" s="57"/>
      <c r="B49" s="41"/>
      <c r="C49" s="52"/>
      <c r="D49" s="45"/>
      <c r="E49" s="45"/>
      <c r="F49" s="45"/>
      <c r="G49" s="48" t="s">
        <v>19</v>
      </c>
      <c r="H49" s="62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96"/>
    </row>
    <row r="50" spans="1:26" ht="19.5" customHeight="1">
      <c r="A50" s="155"/>
      <c r="B50" s="156" t="s">
        <v>51</v>
      </c>
      <c r="C50" s="157"/>
      <c r="D50" s="158"/>
      <c r="E50" s="158"/>
      <c r="F50" s="158"/>
      <c r="G50" s="159" t="s">
        <v>18</v>
      </c>
      <c r="H50" s="131">
        <f>+H46/$E46*100</f>
        <v>1.703626287001287</v>
      </c>
      <c r="I50" s="131">
        <f aca="true" t="shared" si="12" ref="I50:Z50">+I46/$E46*100</f>
        <v>3.450722651222651</v>
      </c>
      <c r="J50" s="131">
        <f t="shared" si="12"/>
        <v>1.7834768339768339</v>
      </c>
      <c r="K50" s="131">
        <f t="shared" si="12"/>
        <v>1.7834768339768339</v>
      </c>
      <c r="L50" s="131">
        <f t="shared" si="12"/>
        <v>1.7834768339768339</v>
      </c>
      <c r="M50" s="131">
        <f t="shared" si="12"/>
        <v>1.7834768339768339</v>
      </c>
      <c r="N50" s="131">
        <f t="shared" si="12"/>
        <v>2.2509403153153156</v>
      </c>
      <c r="O50" s="131">
        <f t="shared" si="12"/>
        <v>4.413217824967824</v>
      </c>
      <c r="P50" s="131">
        <f t="shared" si="12"/>
        <v>8.012214181528467</v>
      </c>
      <c r="Q50" s="131">
        <f t="shared" si="12"/>
        <v>8.813586160650445</v>
      </c>
      <c r="R50" s="131">
        <f t="shared" si="12"/>
        <v>11.590664510428796</v>
      </c>
      <c r="S50" s="131">
        <f t="shared" si="12"/>
        <v>10.13555047138976</v>
      </c>
      <c r="T50" s="131">
        <f t="shared" si="12"/>
        <v>6.906030683744969</v>
      </c>
      <c r="U50" s="131">
        <f t="shared" si="12"/>
        <v>7.931890883230171</v>
      </c>
      <c r="V50" s="131">
        <f t="shared" si="12"/>
        <v>6.146143296357582</v>
      </c>
      <c r="W50" s="131">
        <f t="shared" si="12"/>
        <v>6.146143296357582</v>
      </c>
      <c r="X50" s="131">
        <f t="shared" si="12"/>
        <v>6.146143296357582</v>
      </c>
      <c r="Y50" s="131">
        <f t="shared" si="12"/>
        <v>6.146143296357582</v>
      </c>
      <c r="Z50" s="131">
        <f t="shared" si="12"/>
        <v>3.0730755091826523</v>
      </c>
    </row>
    <row r="51" spans="1:26" ht="19.5" customHeight="1" thickBot="1">
      <c r="A51" s="151"/>
      <c r="B51" s="152"/>
      <c r="C51" s="153"/>
      <c r="D51" s="154"/>
      <c r="E51" s="154"/>
      <c r="F51" s="154"/>
      <c r="G51" s="147" t="s">
        <v>19</v>
      </c>
      <c r="H51" s="134">
        <f>+H50</f>
        <v>1.703626287001287</v>
      </c>
      <c r="I51" s="134">
        <f>+H51+I50</f>
        <v>5.154348938223938</v>
      </c>
      <c r="J51" s="134">
        <f aca="true" t="shared" si="13" ref="J51:Z51">+I51+J50</f>
        <v>6.937825772200772</v>
      </c>
      <c r="K51" s="134">
        <f t="shared" si="13"/>
        <v>8.721302606177606</v>
      </c>
      <c r="L51" s="134">
        <f t="shared" si="13"/>
        <v>10.50477944015444</v>
      </c>
      <c r="M51" s="134">
        <f t="shared" si="13"/>
        <v>12.288256274131275</v>
      </c>
      <c r="N51" s="134">
        <f t="shared" si="13"/>
        <v>14.53919658944659</v>
      </c>
      <c r="O51" s="134">
        <f t="shared" si="13"/>
        <v>18.952414414414413</v>
      </c>
      <c r="P51" s="134">
        <f t="shared" si="13"/>
        <v>26.96462859594288</v>
      </c>
      <c r="Q51" s="134">
        <f t="shared" si="13"/>
        <v>35.77821475659333</v>
      </c>
      <c r="R51" s="134">
        <f t="shared" si="13"/>
        <v>47.36887926702212</v>
      </c>
      <c r="S51" s="134">
        <f t="shared" si="13"/>
        <v>57.504429738411886</v>
      </c>
      <c r="T51" s="134">
        <f t="shared" si="13"/>
        <v>64.41046042215686</v>
      </c>
      <c r="U51" s="134">
        <f t="shared" si="13"/>
        <v>72.34235130538703</v>
      </c>
      <c r="V51" s="134">
        <f t="shared" si="13"/>
        <v>78.4884946017446</v>
      </c>
      <c r="W51" s="134">
        <f t="shared" si="13"/>
        <v>84.63463789810218</v>
      </c>
      <c r="X51" s="134">
        <f t="shared" si="13"/>
        <v>90.78078119445976</v>
      </c>
      <c r="Y51" s="134">
        <f t="shared" si="13"/>
        <v>96.92692449081734</v>
      </c>
      <c r="Z51" s="134">
        <f t="shared" si="13"/>
        <v>100</v>
      </c>
    </row>
    <row r="52" spans="1:26" ht="19.5" customHeight="1">
      <c r="A52" s="56"/>
      <c r="B52" s="40" t="s">
        <v>24</v>
      </c>
      <c r="C52" s="51"/>
      <c r="D52" s="44"/>
      <c r="E52" s="44"/>
      <c r="F52" s="44"/>
      <c r="G52" s="111" t="s">
        <v>18</v>
      </c>
      <c r="H52" s="116"/>
      <c r="I52" s="117"/>
      <c r="J52" s="117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7"/>
    </row>
    <row r="53" spans="1:26" ht="19.5" customHeight="1" thickBot="1">
      <c r="A53" s="57"/>
      <c r="B53" s="43"/>
      <c r="C53" s="45"/>
      <c r="D53" s="45"/>
      <c r="E53" s="45"/>
      <c r="F53" s="46"/>
      <c r="G53" s="48" t="s">
        <v>19</v>
      </c>
      <c r="H53" s="114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7" s="2" customFormat="1" ht="25.5" customHeight="1" thickBot="1">
      <c r="A54" s="58"/>
      <c r="B54" s="39" t="s">
        <v>25</v>
      </c>
      <c r="C54" s="53"/>
      <c r="D54" s="50"/>
      <c r="E54" s="50"/>
      <c r="F54" s="50"/>
      <c r="G54" s="50"/>
      <c r="H54" s="9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120"/>
    </row>
    <row r="55" spans="1:27" s="2" customFormat="1" ht="25.5" customHeight="1" thickBot="1">
      <c r="A55" s="58"/>
      <c r="B55" s="39" t="s">
        <v>26</v>
      </c>
      <c r="C55" s="53"/>
      <c r="D55" s="50"/>
      <c r="E55" s="50"/>
      <c r="F55" s="50"/>
      <c r="G55" s="50"/>
      <c r="H55" s="9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120"/>
    </row>
    <row r="56" spans="2:5" ht="12.75">
      <c r="B56" s="4"/>
      <c r="C56" s="4"/>
      <c r="D56" s="4"/>
      <c r="E56" s="4"/>
    </row>
    <row r="57" spans="2:8" ht="19.5" customHeight="1" thickBot="1">
      <c r="B57" s="11" t="s">
        <v>20</v>
      </c>
      <c r="C57" s="4"/>
      <c r="D57" s="4"/>
      <c r="E57" s="12" t="s">
        <v>27</v>
      </c>
      <c r="H57" s="12" t="s">
        <v>16</v>
      </c>
    </row>
    <row r="58" spans="2:26" ht="15.75">
      <c r="B58" s="4"/>
      <c r="C58" s="4"/>
      <c r="D58" s="4"/>
      <c r="E58" s="105" t="s">
        <v>61</v>
      </c>
      <c r="F58" s="105"/>
      <c r="G58" s="106">
        <v>38533</v>
      </c>
      <c r="H58" s="106">
        <v>38563</v>
      </c>
      <c r="I58" s="107">
        <v>38594</v>
      </c>
      <c r="J58" s="107">
        <v>38625</v>
      </c>
      <c r="K58" s="107">
        <v>38655</v>
      </c>
      <c r="L58" s="107">
        <v>38686</v>
      </c>
      <c r="M58" s="108">
        <v>38716</v>
      </c>
      <c r="N58" s="109">
        <v>38747</v>
      </c>
      <c r="O58" s="107">
        <v>38776</v>
      </c>
      <c r="P58" s="107">
        <v>38806</v>
      </c>
      <c r="Q58" s="107">
        <v>38837</v>
      </c>
      <c r="R58" s="107">
        <v>38867</v>
      </c>
      <c r="S58" s="107">
        <v>38898</v>
      </c>
      <c r="T58" s="107">
        <v>38928</v>
      </c>
      <c r="U58" s="107">
        <v>38959</v>
      </c>
      <c r="V58" s="107">
        <v>38990</v>
      </c>
      <c r="W58" s="107">
        <v>39020</v>
      </c>
      <c r="X58" s="107">
        <v>39051</v>
      </c>
      <c r="Y58" s="108">
        <v>39081</v>
      </c>
      <c r="Z58" s="109">
        <v>39112</v>
      </c>
    </row>
    <row r="59" spans="2:26" ht="12.75">
      <c r="B59" s="4"/>
      <c r="C59" s="4"/>
      <c r="D59" s="4"/>
      <c r="E59" s="105" t="s">
        <v>58</v>
      </c>
      <c r="F59" s="105"/>
      <c r="G59" s="105">
        <v>0</v>
      </c>
      <c r="H59" s="110">
        <f aca="true" t="shared" si="14" ref="H59:Z59">+H46</f>
        <v>2862092.1621621624</v>
      </c>
      <c r="I59" s="110">
        <f t="shared" si="14"/>
        <v>5797214.054054054</v>
      </c>
      <c r="J59" s="110">
        <f t="shared" si="14"/>
        <v>2996241.081081081</v>
      </c>
      <c r="K59" s="110">
        <f t="shared" si="14"/>
        <v>2996241.081081081</v>
      </c>
      <c r="L59" s="110">
        <f t="shared" si="14"/>
        <v>2996241.081081081</v>
      </c>
      <c r="M59" s="110">
        <f t="shared" si="14"/>
        <v>2996241.081081081</v>
      </c>
      <c r="N59" s="110">
        <f t="shared" si="14"/>
        <v>3781579.7297297297</v>
      </c>
      <c r="O59" s="110">
        <f t="shared" si="14"/>
        <v>7414205.945945946</v>
      </c>
      <c r="P59" s="110">
        <f t="shared" si="14"/>
        <v>13460519.824967824</v>
      </c>
      <c r="Q59" s="110">
        <f t="shared" si="14"/>
        <v>14806824.749892749</v>
      </c>
      <c r="R59" s="110">
        <f t="shared" si="14"/>
        <v>19472316.37752038</v>
      </c>
      <c r="S59" s="110">
        <f t="shared" si="14"/>
        <v>17027724.791934796</v>
      </c>
      <c r="T59" s="110">
        <f t="shared" si="14"/>
        <v>11602131.548691548</v>
      </c>
      <c r="U59" s="110">
        <f t="shared" si="14"/>
        <v>13325576.683826687</v>
      </c>
      <c r="V59" s="110">
        <f t="shared" si="14"/>
        <v>10325520.737880738</v>
      </c>
      <c r="W59" s="110">
        <f t="shared" si="14"/>
        <v>10325520.737880738</v>
      </c>
      <c r="X59" s="110">
        <f t="shared" si="14"/>
        <v>10325520.737880738</v>
      </c>
      <c r="Y59" s="110">
        <f t="shared" si="14"/>
        <v>10325520.737880738</v>
      </c>
      <c r="Z59" s="110">
        <f t="shared" si="14"/>
        <v>5162766.855426855</v>
      </c>
    </row>
    <row r="60" spans="2:26" ht="12.75">
      <c r="B60" s="4"/>
      <c r="C60" s="4"/>
      <c r="D60" s="4"/>
      <c r="E60" s="105" t="s">
        <v>59</v>
      </c>
      <c r="F60" s="105"/>
      <c r="G60" s="110">
        <v>0</v>
      </c>
      <c r="H60" s="110">
        <f>+H48</f>
        <v>0</v>
      </c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spans="2:26" ht="12.75">
      <c r="B61" s="4"/>
      <c r="C61" s="4"/>
      <c r="D61" s="4"/>
      <c r="E61" s="105" t="s">
        <v>62</v>
      </c>
      <c r="F61" s="105"/>
      <c r="G61" s="110">
        <f>+G59</f>
        <v>0</v>
      </c>
      <c r="H61" s="110">
        <f>+H59</f>
        <v>2862092.1621621624</v>
      </c>
      <c r="I61" s="110">
        <f>+H61+I59</f>
        <v>8659306.216216218</v>
      </c>
      <c r="J61" s="110">
        <f aca="true" t="shared" si="15" ref="J61:Z61">+I61+J59</f>
        <v>11655547.297297299</v>
      </c>
      <c r="K61" s="110">
        <f t="shared" si="15"/>
        <v>14651788.37837838</v>
      </c>
      <c r="L61" s="110">
        <f t="shared" si="15"/>
        <v>17648029.45945946</v>
      </c>
      <c r="M61" s="110">
        <f t="shared" si="15"/>
        <v>20644270.540540542</v>
      </c>
      <c r="N61" s="110">
        <f t="shared" si="15"/>
        <v>24425850.270270273</v>
      </c>
      <c r="O61" s="110">
        <f t="shared" si="15"/>
        <v>31840056.216216218</v>
      </c>
      <c r="P61" s="110">
        <f t="shared" si="15"/>
        <v>45300576.04118404</v>
      </c>
      <c r="Q61" s="110">
        <f t="shared" si="15"/>
        <v>60107400.79107679</v>
      </c>
      <c r="R61" s="110">
        <f t="shared" si="15"/>
        <v>79579717.16859716</v>
      </c>
      <c r="S61" s="110">
        <f t="shared" si="15"/>
        <v>96607441.96053195</v>
      </c>
      <c r="T61" s="110">
        <f t="shared" si="15"/>
        <v>108209573.50922349</v>
      </c>
      <c r="U61" s="110">
        <f t="shared" si="15"/>
        <v>121535150.19305018</v>
      </c>
      <c r="V61" s="110">
        <f t="shared" si="15"/>
        <v>131860670.93093091</v>
      </c>
      <c r="W61" s="110">
        <f t="shared" si="15"/>
        <v>142186191.66881165</v>
      </c>
      <c r="X61" s="110">
        <f t="shared" si="15"/>
        <v>152511712.4066924</v>
      </c>
      <c r="Y61" s="110">
        <f t="shared" si="15"/>
        <v>162837233.14457312</v>
      </c>
      <c r="Z61" s="110">
        <f t="shared" si="15"/>
        <v>167999999.99999997</v>
      </c>
    </row>
    <row r="62" spans="2:26" ht="12.75">
      <c r="B62" s="4"/>
      <c r="C62" s="4"/>
      <c r="D62" s="4"/>
      <c r="E62" s="105" t="s">
        <v>63</v>
      </c>
      <c r="F62" s="105"/>
      <c r="G62" s="110">
        <f>+G60</f>
        <v>0</v>
      </c>
      <c r="H62" s="110">
        <f>+H60</f>
        <v>0</v>
      </c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ht="12.75">
      <c r="E74" s="4"/>
    </row>
    <row r="75" ht="12.75">
      <c r="E75" s="4"/>
    </row>
    <row r="76" ht="12.75">
      <c r="E76" s="4"/>
    </row>
    <row r="77" ht="12.75">
      <c r="E77" s="4"/>
    </row>
    <row r="78" ht="12.75">
      <c r="E78" s="4"/>
    </row>
    <row r="79" ht="12.75">
      <c r="E79" s="4"/>
    </row>
    <row r="80" ht="12.75">
      <c r="E80" s="4"/>
    </row>
    <row r="81" ht="12.75">
      <c r="E81" s="4"/>
    </row>
    <row r="82" ht="12.75">
      <c r="E82" s="4"/>
    </row>
    <row r="83" ht="12.75">
      <c r="E83" s="4"/>
    </row>
    <row r="84" ht="12.75">
      <c r="E84" s="4"/>
    </row>
    <row r="85" ht="12.75">
      <c r="E85" s="4"/>
    </row>
    <row r="86" ht="12.75">
      <c r="E86" s="4"/>
    </row>
    <row r="87" ht="12.75">
      <c r="E87" s="4"/>
    </row>
    <row r="88" ht="12.75">
      <c r="E88" s="4"/>
    </row>
    <row r="89" ht="12.75">
      <c r="E89" s="4"/>
    </row>
    <row r="90" ht="12.75">
      <c r="E90" s="4"/>
    </row>
    <row r="91" ht="12.75">
      <c r="E91" s="4"/>
    </row>
    <row r="92" ht="12.75">
      <c r="E92" s="4"/>
    </row>
    <row r="93" ht="12.75">
      <c r="E93" s="4"/>
    </row>
    <row r="94" ht="12.75">
      <c r="E94" s="4"/>
    </row>
    <row r="95" ht="12.75">
      <c r="E95" s="4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  <row r="101" ht="12.75">
      <c r="E101" s="4"/>
    </row>
    <row r="102" ht="12.75">
      <c r="E102" s="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  <row r="129" ht="12.75">
      <c r="E129" s="4"/>
    </row>
    <row r="130" ht="12.75">
      <c r="E130" s="4"/>
    </row>
    <row r="131" ht="12.75">
      <c r="E131" s="4"/>
    </row>
    <row r="132" ht="12.75">
      <c r="E132" s="4"/>
    </row>
    <row r="133" ht="12.75">
      <c r="E133" s="4"/>
    </row>
    <row r="134" ht="12.75">
      <c r="E134" s="4"/>
    </row>
    <row r="135" ht="12.75">
      <c r="E135" s="4"/>
    </row>
    <row r="136" ht="12.75">
      <c r="E136" s="4"/>
    </row>
    <row r="137" ht="12.75">
      <c r="E137" s="4"/>
    </row>
    <row r="138" ht="12.75">
      <c r="E138" s="4"/>
    </row>
    <row r="139" ht="12.75">
      <c r="E139" s="4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  <row r="144" ht="12.75">
      <c r="E144" s="4"/>
    </row>
    <row r="145" ht="12.75">
      <c r="E145" s="4"/>
    </row>
    <row r="146" ht="12.75">
      <c r="E146" s="4"/>
    </row>
    <row r="147" ht="12.75">
      <c r="E147" s="4"/>
    </row>
    <row r="148" ht="12.75">
      <c r="E148" s="4"/>
    </row>
    <row r="149" ht="12.75">
      <c r="E149" s="4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</sheetData>
  <sheetProtection/>
  <printOptions/>
  <pageMargins left="0.5905511811023623" right="0" top="0.5905511811023623" bottom="0.3937007874015748" header="0.3937007874015748" footer="0.1968503937007874"/>
  <pageSetup horizontalDpi="300" verticalDpi="300" orientation="landscape" paperSize="8" scale="62" r:id="rId2"/>
  <headerFooter alignWithMargins="0">
    <oddFooter>&amp;C&amp;8&amp;F/&amp;A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user-pm</cp:lastModifiedBy>
  <cp:lastPrinted>2009-03-29T01:35:38Z</cp:lastPrinted>
  <dcterms:created xsi:type="dcterms:W3CDTF">2005-06-23T14:33:04Z</dcterms:created>
  <dcterms:modified xsi:type="dcterms:W3CDTF">2009-07-10T10:25:18Z</dcterms:modified>
  <cp:category/>
  <cp:version/>
  <cp:contentType/>
  <cp:contentStatus/>
</cp:coreProperties>
</file>